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ontracts" sheetId="1" r:id="rId1"/>
    <sheet name="Members" sheetId="2" r:id="rId2"/>
  </sheets>
  <definedNames/>
  <calcPr fullCalcOnLoad="1"/>
</workbook>
</file>

<file path=xl/sharedStrings.xml><?xml version="1.0" encoding="utf-8"?>
<sst xmlns="http://schemas.openxmlformats.org/spreadsheetml/2006/main" count="92" uniqueCount="14">
  <si>
    <t>State of Wisconsin Contracts</t>
  </si>
  <si>
    <t>Single</t>
  </si>
  <si>
    <t>Family</t>
  </si>
  <si>
    <t>State Standard</t>
  </si>
  <si>
    <t>State Standard 2</t>
  </si>
  <si>
    <t>State Medicare</t>
  </si>
  <si>
    <t>State SMP</t>
  </si>
  <si>
    <t>Local Standard</t>
  </si>
  <si>
    <t>Local SMP</t>
  </si>
  <si>
    <t>State of Wisconsin Members</t>
  </si>
  <si>
    <t>Local Medicare</t>
  </si>
  <si>
    <t>Grad Assistants</t>
  </si>
  <si>
    <t>Excl Grad Asst</t>
  </si>
  <si>
    <t>State Standard2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</si>
</sst>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166" fontId="0" fillId="0" borderId="0" xfId="15" applyNumberForma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3" sqref="B43"/>
    </sheetView>
  </sheetViews>
  <sheetFormatPr defaultColWidth="9.7109375" defaultRowHeight="12.75"/>
  <cols>
    <col min="1" max="19" width="9.7109375" style="0" customWidth="1"/>
    <col min="20" max="21" width="10.28125" style="0" bestFit="1" customWidth="1"/>
  </cols>
  <sheetData>
    <row r="1" spans="2:21" ht="12.75">
      <c r="B1" s="9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4" spans="2:19" ht="12.75">
      <c r="B4" s="5" t="s">
        <v>3</v>
      </c>
      <c r="C4" s="5"/>
      <c r="D4" s="5" t="s">
        <v>3</v>
      </c>
      <c r="E4" s="5"/>
      <c r="F4" s="5" t="s">
        <v>3</v>
      </c>
      <c r="G4" s="5"/>
      <c r="H4" s="5" t="s">
        <v>4</v>
      </c>
      <c r="I4" s="5"/>
      <c r="J4" s="5" t="s">
        <v>13</v>
      </c>
      <c r="K4" s="5"/>
      <c r="L4" s="5" t="s">
        <v>13</v>
      </c>
      <c r="M4" s="5"/>
      <c r="N4" s="5" t="s">
        <v>6</v>
      </c>
      <c r="O4" s="5"/>
      <c r="P4" s="5" t="s">
        <v>6</v>
      </c>
      <c r="Q4" s="5"/>
      <c r="R4" s="5" t="s">
        <v>6</v>
      </c>
      <c r="S4" s="5"/>
    </row>
    <row r="5" spans="4:27" ht="12.75">
      <c r="D5" s="5" t="s">
        <v>11</v>
      </c>
      <c r="E5" s="5"/>
      <c r="F5" s="5" t="s">
        <v>12</v>
      </c>
      <c r="G5" s="5"/>
      <c r="J5" s="5" t="s">
        <v>11</v>
      </c>
      <c r="K5" s="5"/>
      <c r="L5" s="5" t="s">
        <v>12</v>
      </c>
      <c r="M5" s="5"/>
      <c r="P5" s="5" t="s">
        <v>11</v>
      </c>
      <c r="Q5" s="5"/>
      <c r="R5" s="5" t="s">
        <v>12</v>
      </c>
      <c r="S5" s="5"/>
      <c r="T5" s="5" t="s">
        <v>5</v>
      </c>
      <c r="U5" s="5"/>
      <c r="V5" s="5" t="s">
        <v>7</v>
      </c>
      <c r="W5" s="6"/>
      <c r="X5" s="5" t="s">
        <v>8</v>
      </c>
      <c r="Y5" s="6"/>
      <c r="Z5" s="5" t="s">
        <v>10</v>
      </c>
      <c r="AA5" s="6"/>
    </row>
    <row r="6" spans="2:27" ht="12.75">
      <c r="B6" s="1" t="s">
        <v>1</v>
      </c>
      <c r="C6" s="1" t="s">
        <v>2</v>
      </c>
      <c r="D6" s="1" t="s">
        <v>1</v>
      </c>
      <c r="E6" s="1" t="s">
        <v>2</v>
      </c>
      <c r="F6" s="1" t="s">
        <v>1</v>
      </c>
      <c r="G6" s="1" t="s">
        <v>2</v>
      </c>
      <c r="H6" s="1" t="s">
        <v>1</v>
      </c>
      <c r="I6" s="1" t="s">
        <v>2</v>
      </c>
      <c r="J6" s="1" t="s">
        <v>1</v>
      </c>
      <c r="K6" s="1" t="s">
        <v>2</v>
      </c>
      <c r="L6" s="1" t="s">
        <v>1</v>
      </c>
      <c r="M6" s="1" t="s">
        <v>2</v>
      </c>
      <c r="N6" s="1" t="s">
        <v>1</v>
      </c>
      <c r="O6" s="1" t="s">
        <v>2</v>
      </c>
      <c r="P6" s="1" t="s">
        <v>1</v>
      </c>
      <c r="Q6" s="1" t="s">
        <v>2</v>
      </c>
      <c r="R6" s="1" t="s">
        <v>1</v>
      </c>
      <c r="S6" s="1" t="s">
        <v>2</v>
      </c>
      <c r="T6" s="1" t="s">
        <v>1</v>
      </c>
      <c r="U6" s="1" t="s">
        <v>2</v>
      </c>
      <c r="V6" s="1" t="s">
        <v>1</v>
      </c>
      <c r="W6" s="1" t="s">
        <v>2</v>
      </c>
      <c r="X6" s="1" t="s">
        <v>1</v>
      </c>
      <c r="Y6" s="1" t="s">
        <v>2</v>
      </c>
      <c r="Z6" s="1" t="s">
        <v>1</v>
      </c>
      <c r="AA6" s="1" t="s">
        <v>2</v>
      </c>
    </row>
    <row r="7" spans="2:2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4">
        <v>38231</v>
      </c>
      <c r="B8" s="3">
        <f>944+531</f>
        <v>1475</v>
      </c>
      <c r="C8" s="3">
        <f>619+503</f>
        <v>1122</v>
      </c>
      <c r="D8" s="3">
        <f>89+35</f>
        <v>124</v>
      </c>
      <c r="E8" s="3">
        <f>33+11</f>
        <v>44</v>
      </c>
      <c r="F8" s="3">
        <f aca="true" t="shared" si="0" ref="F8:G10">B8-D8</f>
        <v>1351</v>
      </c>
      <c r="G8" s="3">
        <f t="shared" si="0"/>
        <v>1078</v>
      </c>
      <c r="H8" s="3">
        <v>0</v>
      </c>
      <c r="I8" s="3">
        <v>0</v>
      </c>
      <c r="J8" s="3">
        <v>0</v>
      </c>
      <c r="K8" s="3">
        <v>0</v>
      </c>
      <c r="L8" s="3">
        <f aca="true" t="shared" si="1" ref="L8:M10">H8-J8</f>
        <v>0</v>
      </c>
      <c r="M8" s="3">
        <f t="shared" si="1"/>
        <v>0</v>
      </c>
      <c r="N8" s="3">
        <v>847</v>
      </c>
      <c r="O8" s="3">
        <v>2275</v>
      </c>
      <c r="P8" s="3">
        <v>34</v>
      </c>
      <c r="Q8" s="3">
        <v>19</v>
      </c>
      <c r="R8" s="3">
        <f aca="true" t="shared" si="2" ref="R8:S10">N8-P8</f>
        <v>813</v>
      </c>
      <c r="S8" s="3">
        <f t="shared" si="2"/>
        <v>2256</v>
      </c>
      <c r="T8" s="3">
        <v>5230</v>
      </c>
      <c r="U8" s="3">
        <v>2380</v>
      </c>
      <c r="V8" s="8">
        <v>154</v>
      </c>
      <c r="W8" s="8">
        <v>121</v>
      </c>
      <c r="X8" s="8">
        <v>36</v>
      </c>
      <c r="Y8" s="8">
        <v>94</v>
      </c>
      <c r="Z8" s="8">
        <v>166</v>
      </c>
      <c r="AA8" s="8">
        <v>69</v>
      </c>
    </row>
    <row r="9" spans="1:27" ht="12.75">
      <c r="A9" s="4">
        <v>38200</v>
      </c>
      <c r="B9" s="3">
        <f>893+553</f>
        <v>1446</v>
      </c>
      <c r="C9" s="3">
        <f>592+508</f>
        <v>1100</v>
      </c>
      <c r="D9" s="3">
        <f>70+39</f>
        <v>109</v>
      </c>
      <c r="E9" s="3">
        <f>30+12</f>
        <v>42</v>
      </c>
      <c r="F9" s="3">
        <f t="shared" si="0"/>
        <v>1337</v>
      </c>
      <c r="G9" s="3">
        <f t="shared" si="0"/>
        <v>1058</v>
      </c>
      <c r="H9" s="3">
        <v>0</v>
      </c>
      <c r="I9" s="3">
        <v>0</v>
      </c>
      <c r="J9" s="3">
        <v>0</v>
      </c>
      <c r="K9" s="3">
        <v>0</v>
      </c>
      <c r="L9" s="3">
        <f t="shared" si="1"/>
        <v>0</v>
      </c>
      <c r="M9" s="3">
        <f t="shared" si="1"/>
        <v>0</v>
      </c>
      <c r="N9" s="3">
        <v>836</v>
      </c>
      <c r="O9" s="3">
        <v>2270</v>
      </c>
      <c r="P9" s="3">
        <v>29</v>
      </c>
      <c r="Q9" s="3">
        <v>21</v>
      </c>
      <c r="R9" s="3">
        <f t="shared" si="2"/>
        <v>807</v>
      </c>
      <c r="S9" s="3">
        <f t="shared" si="2"/>
        <v>2249</v>
      </c>
      <c r="T9" s="3">
        <v>5232</v>
      </c>
      <c r="U9" s="3">
        <v>2375</v>
      </c>
      <c r="V9" s="8">
        <v>149</v>
      </c>
      <c r="W9" s="8">
        <v>122</v>
      </c>
      <c r="X9" s="8">
        <v>36</v>
      </c>
      <c r="Y9" s="8">
        <v>96</v>
      </c>
      <c r="Z9" s="8">
        <v>165</v>
      </c>
      <c r="AA9" s="8">
        <v>71</v>
      </c>
    </row>
    <row r="10" spans="1:27" ht="12.75">
      <c r="A10" s="4">
        <v>38169</v>
      </c>
      <c r="B10" s="3">
        <f>877+566</f>
        <v>1443</v>
      </c>
      <c r="C10" s="3">
        <f>568+522</f>
        <v>1090</v>
      </c>
      <c r="D10" s="3">
        <f>69+42</f>
        <v>111</v>
      </c>
      <c r="E10" s="3">
        <f>30+13</f>
        <v>43</v>
      </c>
      <c r="F10" s="3">
        <f t="shared" si="0"/>
        <v>1332</v>
      </c>
      <c r="G10" s="3">
        <f t="shared" si="0"/>
        <v>1047</v>
      </c>
      <c r="H10" s="3">
        <v>0</v>
      </c>
      <c r="I10" s="3">
        <v>0</v>
      </c>
      <c r="J10" s="3">
        <v>0</v>
      </c>
      <c r="K10" s="3">
        <v>0</v>
      </c>
      <c r="L10" s="3">
        <f t="shared" si="1"/>
        <v>0</v>
      </c>
      <c r="M10" s="3">
        <f t="shared" si="1"/>
        <v>0</v>
      </c>
      <c r="N10" s="3">
        <v>856</v>
      </c>
      <c r="O10" s="3">
        <v>2262</v>
      </c>
      <c r="P10" s="3">
        <v>39</v>
      </c>
      <c r="Q10" s="3">
        <v>22</v>
      </c>
      <c r="R10" s="3">
        <f t="shared" si="2"/>
        <v>817</v>
      </c>
      <c r="S10" s="3">
        <f t="shared" si="2"/>
        <v>2240</v>
      </c>
      <c r="T10" s="3">
        <v>5232</v>
      </c>
      <c r="U10" s="3">
        <v>2384</v>
      </c>
      <c r="V10" s="8">
        <v>147</v>
      </c>
      <c r="W10" s="8">
        <v>125</v>
      </c>
      <c r="X10" s="8">
        <v>36</v>
      </c>
      <c r="Y10" s="8">
        <v>94</v>
      </c>
      <c r="Z10" s="8">
        <v>164</v>
      </c>
      <c r="AA10" s="8">
        <v>71</v>
      </c>
    </row>
    <row r="11" spans="1:27" ht="12.75">
      <c r="A11" s="4">
        <v>38139</v>
      </c>
      <c r="B11" s="3">
        <f>858+569</f>
        <v>1427</v>
      </c>
      <c r="C11" s="3">
        <f>552+525</f>
        <v>1077</v>
      </c>
      <c r="D11" s="3">
        <f>52+43</f>
        <v>95</v>
      </c>
      <c r="E11" s="3">
        <f>18+13</f>
        <v>31</v>
      </c>
      <c r="F11" s="3">
        <f aca="true" t="shared" si="3" ref="F11:F31">B11-D11</f>
        <v>1332</v>
      </c>
      <c r="G11" s="3">
        <f aca="true" t="shared" si="4" ref="G11:G31">C11-E11</f>
        <v>1046</v>
      </c>
      <c r="H11" s="3">
        <v>0</v>
      </c>
      <c r="I11" s="3">
        <v>0</v>
      </c>
      <c r="J11" s="3">
        <v>0</v>
      </c>
      <c r="K11" s="3">
        <v>0</v>
      </c>
      <c r="L11" s="3">
        <f aca="true" t="shared" si="5" ref="L11:L31">H11-J11</f>
        <v>0</v>
      </c>
      <c r="M11" s="3">
        <f aca="true" t="shared" si="6" ref="M11:M31">I11-K11</f>
        <v>0</v>
      </c>
      <c r="N11" s="3">
        <v>853</v>
      </c>
      <c r="O11" s="3">
        <v>2262</v>
      </c>
      <c r="P11" s="3">
        <v>35</v>
      </c>
      <c r="Q11" s="3">
        <v>21</v>
      </c>
      <c r="R11" s="3">
        <f aca="true" t="shared" si="7" ref="R11:R31">N11-P11</f>
        <v>818</v>
      </c>
      <c r="S11" s="3">
        <f aca="true" t="shared" si="8" ref="S11:S31">O11-Q11</f>
        <v>2241</v>
      </c>
      <c r="T11" s="3">
        <v>5259</v>
      </c>
      <c r="U11" s="3">
        <v>2393</v>
      </c>
      <c r="V11" s="8">
        <v>146</v>
      </c>
      <c r="W11" s="8">
        <v>125</v>
      </c>
      <c r="X11" s="8">
        <v>36</v>
      </c>
      <c r="Y11" s="8">
        <v>94</v>
      </c>
      <c r="Z11" s="8">
        <v>164</v>
      </c>
      <c r="AA11" s="8">
        <v>71</v>
      </c>
    </row>
    <row r="12" spans="1:27" ht="12.75">
      <c r="A12" s="4">
        <v>38108</v>
      </c>
      <c r="B12" s="3">
        <f>857+575</f>
        <v>1432</v>
      </c>
      <c r="C12" s="3">
        <f>546+527</f>
        <v>1073</v>
      </c>
      <c r="D12" s="3">
        <f>51+44</f>
        <v>95</v>
      </c>
      <c r="E12" s="3">
        <f>15+13</f>
        <v>28</v>
      </c>
      <c r="F12" s="3">
        <f t="shared" si="3"/>
        <v>1337</v>
      </c>
      <c r="G12" s="3">
        <f t="shared" si="4"/>
        <v>1045</v>
      </c>
      <c r="H12" s="3">
        <v>0</v>
      </c>
      <c r="I12" s="3">
        <v>0</v>
      </c>
      <c r="J12" s="3">
        <v>0</v>
      </c>
      <c r="K12" s="3">
        <v>0</v>
      </c>
      <c r="L12" s="3">
        <f t="shared" si="5"/>
        <v>0</v>
      </c>
      <c r="M12" s="3">
        <f t="shared" si="6"/>
        <v>0</v>
      </c>
      <c r="N12" s="3">
        <v>850</v>
      </c>
      <c r="O12" s="3">
        <v>2259</v>
      </c>
      <c r="P12" s="3">
        <v>35</v>
      </c>
      <c r="Q12" s="3">
        <v>19</v>
      </c>
      <c r="R12" s="3">
        <f t="shared" si="7"/>
        <v>815</v>
      </c>
      <c r="S12" s="3">
        <f t="shared" si="8"/>
        <v>2240</v>
      </c>
      <c r="T12" s="3">
        <v>5282</v>
      </c>
      <c r="U12" s="3">
        <v>2400</v>
      </c>
      <c r="V12" s="8">
        <v>149</v>
      </c>
      <c r="W12" s="8">
        <v>126</v>
      </c>
      <c r="X12" s="8">
        <v>37</v>
      </c>
      <c r="Y12" s="8">
        <v>95</v>
      </c>
      <c r="Z12" s="8">
        <v>166</v>
      </c>
      <c r="AA12" s="8">
        <v>71</v>
      </c>
    </row>
    <row r="13" spans="1:30" ht="12.75">
      <c r="A13" s="4">
        <v>38078</v>
      </c>
      <c r="B13" s="3">
        <f>860+588</f>
        <v>1448</v>
      </c>
      <c r="C13" s="3">
        <f>544+531</f>
        <v>1075</v>
      </c>
      <c r="D13" s="3">
        <f>48+44</f>
        <v>92</v>
      </c>
      <c r="E13" s="3">
        <f>16+13</f>
        <v>29</v>
      </c>
      <c r="F13" s="3">
        <f t="shared" si="3"/>
        <v>1356</v>
      </c>
      <c r="G13" s="3">
        <f t="shared" si="4"/>
        <v>1046</v>
      </c>
      <c r="H13" s="3">
        <v>0</v>
      </c>
      <c r="I13" s="3">
        <v>0</v>
      </c>
      <c r="J13" s="3">
        <v>0</v>
      </c>
      <c r="K13" s="3">
        <v>0</v>
      </c>
      <c r="L13" s="3">
        <f t="shared" si="5"/>
        <v>0</v>
      </c>
      <c r="M13" s="3">
        <f t="shared" si="6"/>
        <v>0</v>
      </c>
      <c r="N13" s="3">
        <v>851</v>
      </c>
      <c r="O13" s="3">
        <v>2260</v>
      </c>
      <c r="P13" s="3">
        <v>36</v>
      </c>
      <c r="Q13" s="3">
        <v>19</v>
      </c>
      <c r="R13" s="3">
        <f t="shared" si="7"/>
        <v>815</v>
      </c>
      <c r="S13" s="3">
        <f t="shared" si="8"/>
        <v>2241</v>
      </c>
      <c r="T13" s="3">
        <v>5303</v>
      </c>
      <c r="U13" s="3">
        <v>2409</v>
      </c>
      <c r="V13" s="8">
        <v>156</v>
      </c>
      <c r="W13" s="8">
        <v>127</v>
      </c>
      <c r="X13" s="8">
        <v>37</v>
      </c>
      <c r="Y13" s="8">
        <v>95</v>
      </c>
      <c r="Z13" s="8">
        <v>166</v>
      </c>
      <c r="AA13" s="8">
        <v>73</v>
      </c>
      <c r="AC13" s="8"/>
      <c r="AD13" s="8"/>
    </row>
    <row r="14" spans="1:30" ht="12.75">
      <c r="A14" s="4">
        <v>38047</v>
      </c>
      <c r="B14" s="3">
        <f>872+601</f>
        <v>1473</v>
      </c>
      <c r="C14" s="3">
        <f>551+545</f>
        <v>1096</v>
      </c>
      <c r="D14" s="3">
        <f>49+46</f>
        <v>95</v>
      </c>
      <c r="E14" s="3">
        <f>17+13</f>
        <v>30</v>
      </c>
      <c r="F14" s="3">
        <f t="shared" si="3"/>
        <v>1378</v>
      </c>
      <c r="G14" s="3">
        <f t="shared" si="4"/>
        <v>1066</v>
      </c>
      <c r="H14" s="3">
        <v>0</v>
      </c>
      <c r="I14" s="3">
        <v>0</v>
      </c>
      <c r="J14" s="3">
        <v>0</v>
      </c>
      <c r="K14" s="3">
        <v>0</v>
      </c>
      <c r="L14" s="3">
        <f t="shared" si="5"/>
        <v>0</v>
      </c>
      <c r="M14" s="3">
        <f t="shared" si="6"/>
        <v>0</v>
      </c>
      <c r="N14" s="3">
        <v>853</v>
      </c>
      <c r="O14" s="3">
        <v>2263</v>
      </c>
      <c r="P14" s="3">
        <v>34</v>
      </c>
      <c r="Q14" s="3">
        <v>19</v>
      </c>
      <c r="R14" s="3">
        <f t="shared" si="7"/>
        <v>819</v>
      </c>
      <c r="S14" s="3">
        <f t="shared" si="8"/>
        <v>2244</v>
      </c>
      <c r="T14" s="3">
        <v>5325</v>
      </c>
      <c r="U14" s="3">
        <v>2416</v>
      </c>
      <c r="V14" s="8">
        <v>158</v>
      </c>
      <c r="W14" s="8">
        <v>126</v>
      </c>
      <c r="X14" s="8">
        <v>37</v>
      </c>
      <c r="Y14" s="8">
        <v>96</v>
      </c>
      <c r="Z14" s="8">
        <v>167</v>
      </c>
      <c r="AA14" s="8">
        <v>73</v>
      </c>
      <c r="AC14" s="8"/>
      <c r="AD14" s="8"/>
    </row>
    <row r="15" spans="1:30" ht="12.75">
      <c r="A15" s="4">
        <v>38018</v>
      </c>
      <c r="B15" s="3">
        <f>867+614</f>
        <v>1481</v>
      </c>
      <c r="C15" s="3">
        <f>546+552</f>
        <v>1098</v>
      </c>
      <c r="D15" s="3">
        <f>42+47</f>
        <v>89</v>
      </c>
      <c r="E15" s="3">
        <f>17+13</f>
        <v>30</v>
      </c>
      <c r="F15" s="3">
        <f t="shared" si="3"/>
        <v>1392</v>
      </c>
      <c r="G15" s="3">
        <f t="shared" si="4"/>
        <v>1068</v>
      </c>
      <c r="H15" s="3">
        <v>0</v>
      </c>
      <c r="I15" s="3">
        <v>0</v>
      </c>
      <c r="J15" s="3">
        <v>0</v>
      </c>
      <c r="K15" s="3">
        <v>0</v>
      </c>
      <c r="L15" s="3">
        <f t="shared" si="5"/>
        <v>0</v>
      </c>
      <c r="M15" s="3">
        <f t="shared" si="6"/>
        <v>0</v>
      </c>
      <c r="N15" s="3">
        <v>850</v>
      </c>
      <c r="O15" s="3">
        <v>2269</v>
      </c>
      <c r="P15" s="3">
        <v>35</v>
      </c>
      <c r="Q15" s="3">
        <v>20</v>
      </c>
      <c r="R15" s="3">
        <f t="shared" si="7"/>
        <v>815</v>
      </c>
      <c r="S15" s="3">
        <f t="shared" si="8"/>
        <v>2249</v>
      </c>
      <c r="T15" s="3">
        <v>5348</v>
      </c>
      <c r="U15" s="3">
        <v>2419</v>
      </c>
      <c r="V15" s="8">
        <v>160</v>
      </c>
      <c r="W15" s="8">
        <v>134</v>
      </c>
      <c r="X15" s="8">
        <v>37</v>
      </c>
      <c r="Y15" s="8">
        <v>96</v>
      </c>
      <c r="Z15" s="8">
        <v>168</v>
      </c>
      <c r="AA15" s="8">
        <v>73</v>
      </c>
      <c r="AC15" s="8"/>
      <c r="AD15" s="8"/>
    </row>
    <row r="16" spans="1:30" ht="12.75">
      <c r="A16" s="4">
        <v>37987</v>
      </c>
      <c r="B16" s="3">
        <f>852+622</f>
        <v>1474</v>
      </c>
      <c r="C16" s="3">
        <f>534+563</f>
        <v>1097</v>
      </c>
      <c r="D16" s="3">
        <f>35+48</f>
        <v>83</v>
      </c>
      <c r="E16" s="3">
        <f>13+13</f>
        <v>26</v>
      </c>
      <c r="F16" s="3">
        <f t="shared" si="3"/>
        <v>1391</v>
      </c>
      <c r="G16" s="3">
        <f t="shared" si="4"/>
        <v>1071</v>
      </c>
      <c r="H16" s="3">
        <v>0</v>
      </c>
      <c r="I16" s="3">
        <v>0</v>
      </c>
      <c r="J16" s="3">
        <v>0</v>
      </c>
      <c r="K16" s="3">
        <v>0</v>
      </c>
      <c r="L16" s="3">
        <f t="shared" si="5"/>
        <v>0</v>
      </c>
      <c r="M16" s="3">
        <f t="shared" si="6"/>
        <v>0</v>
      </c>
      <c r="N16" s="3">
        <v>844</v>
      </c>
      <c r="O16" s="3">
        <v>2263</v>
      </c>
      <c r="P16" s="3">
        <v>33</v>
      </c>
      <c r="Q16" s="3">
        <v>19</v>
      </c>
      <c r="R16" s="3">
        <f t="shared" si="7"/>
        <v>811</v>
      </c>
      <c r="S16" s="3">
        <f t="shared" si="8"/>
        <v>2244</v>
      </c>
      <c r="T16" s="3">
        <v>5376</v>
      </c>
      <c r="U16" s="3">
        <v>2438</v>
      </c>
      <c r="V16" s="8">
        <v>159</v>
      </c>
      <c r="W16" s="8">
        <v>134</v>
      </c>
      <c r="X16" s="8">
        <v>43</v>
      </c>
      <c r="Y16" s="8">
        <v>109</v>
      </c>
      <c r="Z16" s="8">
        <v>168</v>
      </c>
      <c r="AA16" s="8">
        <v>75</v>
      </c>
      <c r="AC16" s="8"/>
      <c r="AD16" s="8"/>
    </row>
    <row r="17" spans="1:30" ht="12.75">
      <c r="A17" s="4">
        <v>37956</v>
      </c>
      <c r="B17" s="3">
        <v>598</v>
      </c>
      <c r="C17" s="3">
        <v>250</v>
      </c>
      <c r="D17" s="3">
        <v>20</v>
      </c>
      <c r="E17" s="3">
        <v>7</v>
      </c>
      <c r="F17" s="3">
        <f t="shared" si="3"/>
        <v>578</v>
      </c>
      <c r="G17" s="3">
        <f t="shared" si="4"/>
        <v>243</v>
      </c>
      <c r="H17" s="3">
        <v>975</v>
      </c>
      <c r="I17" s="3">
        <v>940</v>
      </c>
      <c r="J17" s="3">
        <v>70</v>
      </c>
      <c r="K17" s="3">
        <v>20</v>
      </c>
      <c r="L17" s="3">
        <f t="shared" si="5"/>
        <v>905</v>
      </c>
      <c r="M17" s="3">
        <f t="shared" si="6"/>
        <v>920</v>
      </c>
      <c r="N17" s="3">
        <v>24</v>
      </c>
      <c r="O17" s="3">
        <v>77</v>
      </c>
      <c r="P17" s="3">
        <v>0</v>
      </c>
      <c r="Q17" s="3">
        <v>0</v>
      </c>
      <c r="R17" s="3">
        <f t="shared" si="7"/>
        <v>24</v>
      </c>
      <c r="S17" s="3">
        <f t="shared" si="8"/>
        <v>77</v>
      </c>
      <c r="T17" s="3">
        <v>5151</v>
      </c>
      <c r="U17" s="3">
        <v>2252</v>
      </c>
      <c r="V17" s="8">
        <v>201</v>
      </c>
      <c r="W17" s="8">
        <v>180</v>
      </c>
      <c r="X17" s="8">
        <v>0</v>
      </c>
      <c r="Y17" s="8">
        <v>0</v>
      </c>
      <c r="Z17" s="8">
        <v>162</v>
      </c>
      <c r="AA17" s="8">
        <v>72</v>
      </c>
      <c r="AC17" s="8"/>
      <c r="AD17" s="8"/>
    </row>
    <row r="18" spans="1:30" ht="12.75">
      <c r="A18" s="4">
        <v>37926</v>
      </c>
      <c r="B18" s="3">
        <v>604</v>
      </c>
      <c r="C18" s="3">
        <v>252</v>
      </c>
      <c r="D18" s="3">
        <v>19</v>
      </c>
      <c r="E18" s="3">
        <v>9</v>
      </c>
      <c r="F18" s="3">
        <f t="shared" si="3"/>
        <v>585</v>
      </c>
      <c r="G18" s="3">
        <f t="shared" si="4"/>
        <v>243</v>
      </c>
      <c r="H18" s="3">
        <v>983</v>
      </c>
      <c r="I18" s="3">
        <v>945</v>
      </c>
      <c r="J18" s="3">
        <v>73</v>
      </c>
      <c r="K18" s="3">
        <v>20</v>
      </c>
      <c r="L18" s="3">
        <f t="shared" si="5"/>
        <v>910</v>
      </c>
      <c r="M18" s="3">
        <f t="shared" si="6"/>
        <v>925</v>
      </c>
      <c r="N18" s="3">
        <v>24</v>
      </c>
      <c r="O18" s="3">
        <v>77</v>
      </c>
      <c r="P18" s="3">
        <v>0</v>
      </c>
      <c r="Q18" s="3">
        <v>0</v>
      </c>
      <c r="R18" s="3">
        <f t="shared" si="7"/>
        <v>24</v>
      </c>
      <c r="S18" s="3">
        <f t="shared" si="8"/>
        <v>77</v>
      </c>
      <c r="T18" s="3">
        <v>5184</v>
      </c>
      <c r="U18" s="3">
        <v>2252</v>
      </c>
      <c r="V18" s="8">
        <v>199</v>
      </c>
      <c r="W18" s="8">
        <v>182</v>
      </c>
      <c r="X18" s="8">
        <v>0</v>
      </c>
      <c r="Y18" s="8">
        <v>0</v>
      </c>
      <c r="Z18" s="8">
        <v>161</v>
      </c>
      <c r="AA18" s="8">
        <v>72</v>
      </c>
      <c r="AC18" s="8"/>
      <c r="AD18" s="8"/>
    </row>
    <row r="19" spans="1:30" ht="12.75">
      <c r="A19" s="4">
        <v>37895</v>
      </c>
      <c r="B19" s="3">
        <v>606</v>
      </c>
      <c r="C19" s="3">
        <v>259</v>
      </c>
      <c r="D19" s="3">
        <v>22</v>
      </c>
      <c r="E19" s="3">
        <v>9</v>
      </c>
      <c r="F19" s="3">
        <f t="shared" si="3"/>
        <v>584</v>
      </c>
      <c r="G19" s="3">
        <f t="shared" si="4"/>
        <v>250</v>
      </c>
      <c r="H19" s="3">
        <v>1006</v>
      </c>
      <c r="I19" s="3">
        <v>959</v>
      </c>
      <c r="J19" s="3">
        <v>83</v>
      </c>
      <c r="K19" s="3">
        <v>23</v>
      </c>
      <c r="L19" s="3">
        <f t="shared" si="5"/>
        <v>923</v>
      </c>
      <c r="M19" s="3">
        <f t="shared" si="6"/>
        <v>936</v>
      </c>
      <c r="N19" s="3">
        <v>21</v>
      </c>
      <c r="O19" s="3">
        <v>77</v>
      </c>
      <c r="P19" s="3">
        <v>0</v>
      </c>
      <c r="Q19" s="3">
        <v>0</v>
      </c>
      <c r="R19" s="3">
        <f t="shared" si="7"/>
        <v>21</v>
      </c>
      <c r="S19" s="3">
        <f t="shared" si="8"/>
        <v>77</v>
      </c>
      <c r="T19" s="3">
        <v>5194</v>
      </c>
      <c r="U19" s="3">
        <v>2253</v>
      </c>
      <c r="V19" s="8">
        <v>199</v>
      </c>
      <c r="W19" s="8">
        <v>182</v>
      </c>
      <c r="X19" s="8">
        <v>0</v>
      </c>
      <c r="Y19" s="8">
        <v>0</v>
      </c>
      <c r="Z19" s="8">
        <v>163</v>
      </c>
      <c r="AA19" s="8">
        <v>71</v>
      </c>
      <c r="AC19" s="8"/>
      <c r="AD19" s="8"/>
    </row>
    <row r="20" spans="1:30" ht="12.75">
      <c r="A20" s="4">
        <v>37865</v>
      </c>
      <c r="B20" s="3">
        <v>552</v>
      </c>
      <c r="C20" s="3">
        <v>258</v>
      </c>
      <c r="D20" s="3">
        <v>18</v>
      </c>
      <c r="E20" s="3">
        <v>9</v>
      </c>
      <c r="F20" s="3">
        <f t="shared" si="3"/>
        <v>534</v>
      </c>
      <c r="G20" s="3">
        <f t="shared" si="4"/>
        <v>249</v>
      </c>
      <c r="H20" s="3">
        <v>995</v>
      </c>
      <c r="I20" s="3">
        <v>969</v>
      </c>
      <c r="J20" s="3">
        <v>78</v>
      </c>
      <c r="K20" s="3">
        <v>27</v>
      </c>
      <c r="L20" s="3">
        <f t="shared" si="5"/>
        <v>917</v>
      </c>
      <c r="M20" s="3">
        <f t="shared" si="6"/>
        <v>942</v>
      </c>
      <c r="N20" s="3">
        <v>21</v>
      </c>
      <c r="O20" s="3">
        <v>77</v>
      </c>
      <c r="P20" s="3">
        <v>0</v>
      </c>
      <c r="Q20" s="3">
        <v>0</v>
      </c>
      <c r="R20" s="3">
        <f t="shared" si="7"/>
        <v>21</v>
      </c>
      <c r="S20" s="3">
        <f t="shared" si="8"/>
        <v>77</v>
      </c>
      <c r="T20" s="3">
        <v>5199</v>
      </c>
      <c r="U20" s="3">
        <v>2256</v>
      </c>
      <c r="V20" s="8">
        <v>182</v>
      </c>
      <c r="W20" s="8">
        <v>179</v>
      </c>
      <c r="X20" s="8">
        <v>0</v>
      </c>
      <c r="Y20" s="8">
        <v>0</v>
      </c>
      <c r="Z20" s="8">
        <v>163</v>
      </c>
      <c r="AA20" s="8">
        <v>71</v>
      </c>
      <c r="AC20" s="8"/>
      <c r="AD20" s="8"/>
    </row>
    <row r="21" spans="1:30" ht="12.75">
      <c r="A21" s="4">
        <v>37834</v>
      </c>
      <c r="B21" s="3">
        <v>548</v>
      </c>
      <c r="C21" s="3">
        <v>257</v>
      </c>
      <c r="D21" s="3">
        <v>17</v>
      </c>
      <c r="E21" s="3">
        <v>8</v>
      </c>
      <c r="F21" s="3">
        <f t="shared" si="3"/>
        <v>531</v>
      </c>
      <c r="G21" s="3">
        <f t="shared" si="4"/>
        <v>249</v>
      </c>
      <c r="H21" s="3">
        <v>989</v>
      </c>
      <c r="I21" s="3">
        <v>981</v>
      </c>
      <c r="J21" s="3">
        <v>65</v>
      </c>
      <c r="K21" s="3">
        <v>31</v>
      </c>
      <c r="L21" s="3">
        <f t="shared" si="5"/>
        <v>924</v>
      </c>
      <c r="M21" s="3">
        <f t="shared" si="6"/>
        <v>950</v>
      </c>
      <c r="N21" s="3">
        <v>21</v>
      </c>
      <c r="O21" s="3">
        <v>77</v>
      </c>
      <c r="P21" s="3">
        <v>0</v>
      </c>
      <c r="Q21" s="3">
        <v>0</v>
      </c>
      <c r="R21" s="3">
        <f t="shared" si="7"/>
        <v>21</v>
      </c>
      <c r="S21" s="3">
        <f t="shared" si="8"/>
        <v>77</v>
      </c>
      <c r="T21" s="3">
        <v>5209</v>
      </c>
      <c r="U21" s="3">
        <v>2262</v>
      </c>
      <c r="V21" s="8">
        <v>177</v>
      </c>
      <c r="W21" s="8">
        <v>181</v>
      </c>
      <c r="X21" s="8">
        <v>0</v>
      </c>
      <c r="Y21" s="8">
        <v>0</v>
      </c>
      <c r="Z21" s="8">
        <v>162</v>
      </c>
      <c r="AA21" s="8">
        <v>70</v>
      </c>
      <c r="AC21" s="8"/>
      <c r="AD21" s="8"/>
    </row>
    <row r="22" spans="1:30" ht="12.75">
      <c r="A22" s="4">
        <v>37803</v>
      </c>
      <c r="B22" s="3">
        <v>561</v>
      </c>
      <c r="C22" s="3">
        <v>263</v>
      </c>
      <c r="D22" s="3">
        <v>17</v>
      </c>
      <c r="E22" s="3">
        <v>8</v>
      </c>
      <c r="F22" s="3">
        <f t="shared" si="3"/>
        <v>544</v>
      </c>
      <c r="G22" s="3">
        <f t="shared" si="4"/>
        <v>255</v>
      </c>
      <c r="H22" s="3">
        <v>996</v>
      </c>
      <c r="I22" s="3">
        <v>996</v>
      </c>
      <c r="J22" s="3">
        <v>69</v>
      </c>
      <c r="K22" s="3">
        <v>32</v>
      </c>
      <c r="L22" s="3">
        <f t="shared" si="5"/>
        <v>927</v>
      </c>
      <c r="M22" s="3">
        <f t="shared" si="6"/>
        <v>964</v>
      </c>
      <c r="N22" s="3">
        <v>21</v>
      </c>
      <c r="O22" s="3">
        <v>77</v>
      </c>
      <c r="P22" s="3">
        <v>0</v>
      </c>
      <c r="Q22" s="3">
        <v>0</v>
      </c>
      <c r="R22" s="3">
        <f t="shared" si="7"/>
        <v>21</v>
      </c>
      <c r="S22" s="3">
        <f t="shared" si="8"/>
        <v>77</v>
      </c>
      <c r="T22" s="3">
        <v>5209</v>
      </c>
      <c r="U22" s="3">
        <v>2275</v>
      </c>
      <c r="V22" s="8">
        <v>177</v>
      </c>
      <c r="W22" s="8">
        <v>182</v>
      </c>
      <c r="X22" s="8">
        <v>0</v>
      </c>
      <c r="Y22" s="8">
        <v>0</v>
      </c>
      <c r="Z22" s="8">
        <v>160</v>
      </c>
      <c r="AA22" s="8">
        <v>71</v>
      </c>
      <c r="AC22" s="8"/>
      <c r="AD22" s="8"/>
    </row>
    <row r="23" spans="1:30" ht="12.75">
      <c r="A23" s="4">
        <v>37773</v>
      </c>
      <c r="B23" s="3">
        <v>570</v>
      </c>
      <c r="C23" s="3">
        <v>256</v>
      </c>
      <c r="D23" s="3">
        <v>17</v>
      </c>
      <c r="E23" s="3">
        <v>5</v>
      </c>
      <c r="F23" s="3">
        <f t="shared" si="3"/>
        <v>553</v>
      </c>
      <c r="G23" s="3">
        <f t="shared" si="4"/>
        <v>251</v>
      </c>
      <c r="H23" s="3">
        <v>984</v>
      </c>
      <c r="I23" s="3">
        <v>988</v>
      </c>
      <c r="J23" s="3">
        <v>65</v>
      </c>
      <c r="K23" s="3">
        <v>26</v>
      </c>
      <c r="L23" s="3">
        <f t="shared" si="5"/>
        <v>919</v>
      </c>
      <c r="M23" s="3">
        <f t="shared" si="6"/>
        <v>962</v>
      </c>
      <c r="N23" s="3">
        <v>21</v>
      </c>
      <c r="O23" s="3">
        <v>77</v>
      </c>
      <c r="P23" s="3">
        <v>0</v>
      </c>
      <c r="Q23" s="3">
        <v>0</v>
      </c>
      <c r="R23" s="3">
        <f t="shared" si="7"/>
        <v>21</v>
      </c>
      <c r="S23" s="3">
        <f t="shared" si="8"/>
        <v>77</v>
      </c>
      <c r="T23" s="3">
        <v>5223</v>
      </c>
      <c r="U23" s="3">
        <v>2279</v>
      </c>
      <c r="V23" s="8">
        <v>173</v>
      </c>
      <c r="W23" s="8">
        <v>178</v>
      </c>
      <c r="X23" s="8">
        <v>0</v>
      </c>
      <c r="Y23" s="8">
        <v>0</v>
      </c>
      <c r="Z23" s="8">
        <v>161</v>
      </c>
      <c r="AA23" s="8">
        <v>69</v>
      </c>
      <c r="AC23" s="8"/>
      <c r="AD23" s="8"/>
    </row>
    <row r="24" spans="1:30" ht="12.75">
      <c r="A24" s="4">
        <v>37742</v>
      </c>
      <c r="B24" s="3">
        <v>575</v>
      </c>
      <c r="C24" s="3">
        <v>260</v>
      </c>
      <c r="D24" s="3">
        <v>16</v>
      </c>
      <c r="E24" s="3">
        <v>5</v>
      </c>
      <c r="F24" s="3">
        <f t="shared" si="3"/>
        <v>559</v>
      </c>
      <c r="G24" s="3">
        <f t="shared" si="4"/>
        <v>255</v>
      </c>
      <c r="H24" s="3">
        <v>993</v>
      </c>
      <c r="I24" s="3">
        <v>989</v>
      </c>
      <c r="J24" s="3">
        <v>67</v>
      </c>
      <c r="K24" s="3">
        <v>22</v>
      </c>
      <c r="L24" s="3">
        <f t="shared" si="5"/>
        <v>926</v>
      </c>
      <c r="M24" s="3">
        <f t="shared" si="6"/>
        <v>967</v>
      </c>
      <c r="N24" s="3">
        <v>23</v>
      </c>
      <c r="O24" s="3">
        <v>75</v>
      </c>
      <c r="P24" s="3">
        <v>0</v>
      </c>
      <c r="Q24" s="3">
        <v>0</v>
      </c>
      <c r="R24" s="3">
        <f t="shared" si="7"/>
        <v>23</v>
      </c>
      <c r="S24" s="3">
        <f t="shared" si="8"/>
        <v>75</v>
      </c>
      <c r="T24" s="3">
        <v>5241</v>
      </c>
      <c r="U24" s="3">
        <v>2282</v>
      </c>
      <c r="V24" s="8">
        <v>172</v>
      </c>
      <c r="W24" s="8">
        <v>181</v>
      </c>
      <c r="X24" s="8">
        <v>0</v>
      </c>
      <c r="Y24" s="8">
        <v>0</v>
      </c>
      <c r="Z24" s="8">
        <v>163</v>
      </c>
      <c r="AA24" s="8">
        <v>72</v>
      </c>
      <c r="AC24" s="8"/>
      <c r="AD24" s="8"/>
    </row>
    <row r="25" spans="1:30" ht="12.75">
      <c r="A25" s="4">
        <v>37712</v>
      </c>
      <c r="B25" s="3">
        <v>586</v>
      </c>
      <c r="C25" s="3">
        <v>263</v>
      </c>
      <c r="D25" s="3">
        <v>16</v>
      </c>
      <c r="E25" s="3">
        <v>5</v>
      </c>
      <c r="F25" s="3">
        <f t="shared" si="3"/>
        <v>570</v>
      </c>
      <c r="G25" s="3">
        <f t="shared" si="4"/>
        <v>258</v>
      </c>
      <c r="H25" s="3">
        <v>998</v>
      </c>
      <c r="I25" s="3">
        <v>993</v>
      </c>
      <c r="J25" s="3">
        <v>69</v>
      </c>
      <c r="K25" s="3">
        <v>22</v>
      </c>
      <c r="L25" s="3">
        <f t="shared" si="5"/>
        <v>929</v>
      </c>
      <c r="M25" s="3">
        <f t="shared" si="6"/>
        <v>971</v>
      </c>
      <c r="N25" s="3">
        <v>22</v>
      </c>
      <c r="O25" s="3">
        <v>75</v>
      </c>
      <c r="P25" s="3">
        <v>0</v>
      </c>
      <c r="Q25" s="3">
        <v>0</v>
      </c>
      <c r="R25" s="3">
        <f t="shared" si="7"/>
        <v>22</v>
      </c>
      <c r="S25" s="3">
        <f t="shared" si="8"/>
        <v>75</v>
      </c>
      <c r="T25" s="3">
        <v>5276</v>
      </c>
      <c r="U25" s="3">
        <v>2306</v>
      </c>
      <c r="V25" s="8">
        <v>170</v>
      </c>
      <c r="W25" s="8">
        <v>169</v>
      </c>
      <c r="X25" s="8">
        <v>0</v>
      </c>
      <c r="Y25" s="8">
        <v>0</v>
      </c>
      <c r="Z25" s="8">
        <v>167</v>
      </c>
      <c r="AA25" s="8">
        <v>72</v>
      </c>
      <c r="AC25" s="8"/>
      <c r="AD25" s="8"/>
    </row>
    <row r="26" spans="1:30" ht="12.75">
      <c r="A26" s="4">
        <v>37681</v>
      </c>
      <c r="B26" s="3">
        <v>592</v>
      </c>
      <c r="C26" s="3">
        <v>274</v>
      </c>
      <c r="D26" s="3">
        <v>15</v>
      </c>
      <c r="E26" s="3">
        <v>7</v>
      </c>
      <c r="F26" s="3">
        <f t="shared" si="3"/>
        <v>577</v>
      </c>
      <c r="G26" s="3">
        <f t="shared" si="4"/>
        <v>267</v>
      </c>
      <c r="H26" s="3">
        <v>997</v>
      </c>
      <c r="I26" s="3">
        <v>990</v>
      </c>
      <c r="J26" s="3">
        <v>68</v>
      </c>
      <c r="K26" s="3">
        <v>22</v>
      </c>
      <c r="L26" s="3">
        <f t="shared" si="5"/>
        <v>929</v>
      </c>
      <c r="M26" s="3">
        <f t="shared" si="6"/>
        <v>968</v>
      </c>
      <c r="N26" s="3">
        <v>22</v>
      </c>
      <c r="O26" s="3">
        <v>74</v>
      </c>
      <c r="P26" s="3">
        <v>0</v>
      </c>
      <c r="Q26" s="3">
        <v>0</v>
      </c>
      <c r="R26" s="3">
        <f t="shared" si="7"/>
        <v>22</v>
      </c>
      <c r="S26" s="3">
        <f t="shared" si="8"/>
        <v>74</v>
      </c>
      <c r="T26" s="3">
        <v>5294</v>
      </c>
      <c r="U26" s="3">
        <v>2320</v>
      </c>
      <c r="V26" s="8">
        <v>167</v>
      </c>
      <c r="W26" s="8">
        <v>171</v>
      </c>
      <c r="X26" s="8">
        <v>0</v>
      </c>
      <c r="Y26" s="8">
        <v>0</v>
      </c>
      <c r="Z26" s="8">
        <v>167</v>
      </c>
      <c r="AA26" s="8">
        <v>72</v>
      </c>
      <c r="AC26" s="8"/>
      <c r="AD26" s="8"/>
    </row>
    <row r="27" spans="1:30" ht="12.75">
      <c r="A27" s="4">
        <v>37653</v>
      </c>
      <c r="B27" s="3">
        <v>584</v>
      </c>
      <c r="C27" s="3">
        <v>276</v>
      </c>
      <c r="D27" s="3">
        <v>13</v>
      </c>
      <c r="E27" s="3">
        <v>7</v>
      </c>
      <c r="F27" s="3">
        <f t="shared" si="3"/>
        <v>571</v>
      </c>
      <c r="G27" s="3">
        <f t="shared" si="4"/>
        <v>269</v>
      </c>
      <c r="H27" s="3">
        <v>1011</v>
      </c>
      <c r="I27" s="3">
        <v>991</v>
      </c>
      <c r="J27" s="3">
        <v>69</v>
      </c>
      <c r="K27" s="3">
        <v>22</v>
      </c>
      <c r="L27" s="3">
        <f t="shared" si="5"/>
        <v>942</v>
      </c>
      <c r="M27" s="3">
        <f t="shared" si="6"/>
        <v>969</v>
      </c>
      <c r="N27" s="3">
        <v>21</v>
      </c>
      <c r="O27" s="3">
        <v>74</v>
      </c>
      <c r="P27" s="3">
        <v>0</v>
      </c>
      <c r="Q27" s="3">
        <v>0</v>
      </c>
      <c r="R27" s="3">
        <f t="shared" si="7"/>
        <v>21</v>
      </c>
      <c r="S27" s="3">
        <f t="shared" si="8"/>
        <v>74</v>
      </c>
      <c r="T27" s="3">
        <v>5336</v>
      </c>
      <c r="U27" s="3">
        <v>2331</v>
      </c>
      <c r="V27" s="8">
        <v>169</v>
      </c>
      <c r="W27" s="8">
        <v>172</v>
      </c>
      <c r="X27" s="8">
        <v>0</v>
      </c>
      <c r="Y27" s="8">
        <v>0</v>
      </c>
      <c r="Z27" s="8">
        <v>168</v>
      </c>
      <c r="AA27" s="8">
        <v>71</v>
      </c>
      <c r="AC27" s="8"/>
      <c r="AD27" s="8"/>
    </row>
    <row r="28" spans="1:30" ht="12.75">
      <c r="A28" s="4">
        <v>37622</v>
      </c>
      <c r="B28" s="3">
        <v>592</v>
      </c>
      <c r="C28" s="3">
        <v>278</v>
      </c>
      <c r="D28" s="3">
        <v>13</v>
      </c>
      <c r="E28" s="3">
        <v>7</v>
      </c>
      <c r="F28" s="3">
        <f t="shared" si="3"/>
        <v>579</v>
      </c>
      <c r="G28" s="3">
        <f t="shared" si="4"/>
        <v>271</v>
      </c>
      <c r="H28" s="3">
        <v>1008</v>
      </c>
      <c r="I28" s="3">
        <v>986</v>
      </c>
      <c r="J28" s="3">
        <v>65</v>
      </c>
      <c r="K28" s="3">
        <v>22</v>
      </c>
      <c r="L28" s="3">
        <f t="shared" si="5"/>
        <v>943</v>
      </c>
      <c r="M28" s="3">
        <f t="shared" si="6"/>
        <v>964</v>
      </c>
      <c r="N28" s="3">
        <v>21</v>
      </c>
      <c r="O28" s="3">
        <v>74</v>
      </c>
      <c r="P28" s="3">
        <v>0</v>
      </c>
      <c r="Q28" s="3">
        <v>0</v>
      </c>
      <c r="R28" s="3">
        <f t="shared" si="7"/>
        <v>21</v>
      </c>
      <c r="S28" s="3">
        <f t="shared" si="8"/>
        <v>74</v>
      </c>
      <c r="T28" s="3">
        <v>5358</v>
      </c>
      <c r="U28" s="3">
        <v>2342</v>
      </c>
      <c r="V28" s="8">
        <v>174</v>
      </c>
      <c r="W28" s="8">
        <v>172</v>
      </c>
      <c r="X28" s="8">
        <v>0</v>
      </c>
      <c r="Y28" s="8">
        <v>0</v>
      </c>
      <c r="Z28" s="8">
        <v>170</v>
      </c>
      <c r="AA28" s="8">
        <v>69</v>
      </c>
      <c r="AC28" s="8"/>
      <c r="AD28" s="8"/>
    </row>
    <row r="29" spans="1:30" ht="12.75">
      <c r="A29" s="4">
        <v>37591</v>
      </c>
      <c r="B29" s="3">
        <v>789</v>
      </c>
      <c r="C29" s="3">
        <v>347</v>
      </c>
      <c r="D29" s="3">
        <v>28</v>
      </c>
      <c r="E29" s="3">
        <v>8</v>
      </c>
      <c r="F29" s="3">
        <f t="shared" si="3"/>
        <v>761</v>
      </c>
      <c r="G29" s="3">
        <f t="shared" si="4"/>
        <v>339</v>
      </c>
      <c r="H29" s="3">
        <v>1019</v>
      </c>
      <c r="I29" s="3">
        <v>1027</v>
      </c>
      <c r="J29" s="3">
        <v>65</v>
      </c>
      <c r="K29" s="3">
        <v>26</v>
      </c>
      <c r="L29" s="3">
        <f t="shared" si="5"/>
        <v>954</v>
      </c>
      <c r="M29" s="3">
        <f t="shared" si="6"/>
        <v>1001</v>
      </c>
      <c r="N29" s="3">
        <v>14</v>
      </c>
      <c r="O29" s="3">
        <v>57</v>
      </c>
      <c r="P29" s="3">
        <v>0</v>
      </c>
      <c r="Q29" s="3">
        <v>0</v>
      </c>
      <c r="R29" s="3">
        <f t="shared" si="7"/>
        <v>14</v>
      </c>
      <c r="S29" s="3">
        <f t="shared" si="8"/>
        <v>57</v>
      </c>
      <c r="T29" s="3">
        <v>5301</v>
      </c>
      <c r="U29" s="3">
        <v>2251</v>
      </c>
      <c r="V29" s="8">
        <v>192</v>
      </c>
      <c r="W29" s="8">
        <v>189</v>
      </c>
      <c r="X29" s="8">
        <v>2</v>
      </c>
      <c r="Y29" s="8">
        <v>4</v>
      </c>
      <c r="Z29" s="8">
        <v>141</v>
      </c>
      <c r="AA29" s="8">
        <v>70</v>
      </c>
      <c r="AC29" s="8"/>
      <c r="AD29" s="8"/>
    </row>
    <row r="30" spans="1:30" ht="12.75">
      <c r="A30" s="4">
        <v>37561</v>
      </c>
      <c r="B30" s="3">
        <v>801</v>
      </c>
      <c r="C30" s="3">
        <v>352</v>
      </c>
      <c r="D30" s="3">
        <v>29</v>
      </c>
      <c r="E30" s="3">
        <v>9</v>
      </c>
      <c r="F30" s="3">
        <f t="shared" si="3"/>
        <v>772</v>
      </c>
      <c r="G30" s="3">
        <f t="shared" si="4"/>
        <v>343</v>
      </c>
      <c r="H30" s="3">
        <v>1016</v>
      </c>
      <c r="I30" s="3">
        <v>1032</v>
      </c>
      <c r="J30" s="3">
        <v>66</v>
      </c>
      <c r="K30" s="3">
        <v>26</v>
      </c>
      <c r="L30" s="3">
        <f t="shared" si="5"/>
        <v>950</v>
      </c>
      <c r="M30" s="3">
        <f t="shared" si="6"/>
        <v>1006</v>
      </c>
      <c r="N30" s="3">
        <v>13</v>
      </c>
      <c r="O30" s="3">
        <v>56</v>
      </c>
      <c r="P30" s="3">
        <v>0</v>
      </c>
      <c r="Q30" s="3">
        <v>0</v>
      </c>
      <c r="R30" s="3">
        <f t="shared" si="7"/>
        <v>13</v>
      </c>
      <c r="S30" s="3">
        <f t="shared" si="8"/>
        <v>56</v>
      </c>
      <c r="T30" s="3">
        <v>5322</v>
      </c>
      <c r="U30" s="3">
        <v>2254</v>
      </c>
      <c r="V30" s="8">
        <v>194</v>
      </c>
      <c r="W30" s="8">
        <v>189</v>
      </c>
      <c r="X30" s="8">
        <v>2</v>
      </c>
      <c r="Y30" s="8">
        <v>4</v>
      </c>
      <c r="Z30" s="8">
        <v>142</v>
      </c>
      <c r="AA30" s="8">
        <v>70</v>
      </c>
      <c r="AC30" s="8"/>
      <c r="AD30" s="8"/>
    </row>
    <row r="31" spans="1:30" ht="12.75">
      <c r="A31" s="4">
        <v>37530</v>
      </c>
      <c r="B31" s="3">
        <v>805</v>
      </c>
      <c r="C31" s="3">
        <v>359</v>
      </c>
      <c r="D31" s="3">
        <v>30</v>
      </c>
      <c r="E31" s="3">
        <v>9</v>
      </c>
      <c r="F31" s="3">
        <f t="shared" si="3"/>
        <v>775</v>
      </c>
      <c r="G31" s="3">
        <f t="shared" si="4"/>
        <v>350</v>
      </c>
      <c r="H31" s="3">
        <v>1030</v>
      </c>
      <c r="I31" s="3">
        <v>1041</v>
      </c>
      <c r="J31" s="3">
        <v>65</v>
      </c>
      <c r="K31" s="3">
        <v>27</v>
      </c>
      <c r="L31" s="3">
        <f t="shared" si="5"/>
        <v>965</v>
      </c>
      <c r="M31" s="3">
        <f t="shared" si="6"/>
        <v>1014</v>
      </c>
      <c r="N31" s="3">
        <v>14</v>
      </c>
      <c r="O31" s="3">
        <v>57</v>
      </c>
      <c r="P31" s="3">
        <v>0</v>
      </c>
      <c r="Q31" s="3">
        <v>0</v>
      </c>
      <c r="R31" s="3">
        <f t="shared" si="7"/>
        <v>14</v>
      </c>
      <c r="S31" s="3">
        <f t="shared" si="8"/>
        <v>57</v>
      </c>
      <c r="T31" s="3">
        <v>5338</v>
      </c>
      <c r="U31" s="3">
        <v>2266</v>
      </c>
      <c r="V31" s="8">
        <v>193</v>
      </c>
      <c r="W31" s="8">
        <v>189</v>
      </c>
      <c r="X31" s="8">
        <v>2</v>
      </c>
      <c r="Y31" s="8">
        <v>4</v>
      </c>
      <c r="Z31" s="8">
        <v>144</v>
      </c>
      <c r="AA31" s="8">
        <v>71</v>
      </c>
      <c r="AC31" s="8"/>
      <c r="AD31" s="8"/>
    </row>
    <row r="32" ht="12.75">
      <c r="A32" s="2"/>
    </row>
  </sheetData>
  <printOptions/>
  <pageMargins left="0.75" right="0.75" top="1" bottom="1" header="0.5" footer="0.5"/>
  <pageSetup fitToHeight="1" fitToWidth="1" horizontalDpi="300" verticalDpi="300" orientation="landscape" scale="4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3" sqref="D33"/>
    </sheetView>
  </sheetViews>
  <sheetFormatPr defaultColWidth="9.7109375" defaultRowHeight="12.75"/>
  <cols>
    <col min="1" max="19" width="9.7109375" style="0" customWidth="1"/>
    <col min="20" max="21" width="10.28125" style="0" bestFit="1" customWidth="1"/>
  </cols>
  <sheetData>
    <row r="1" ht="12.75">
      <c r="B1" s="9" t="s">
        <v>9</v>
      </c>
    </row>
    <row r="4" spans="2:19" ht="12.75">
      <c r="B4" s="5" t="s">
        <v>3</v>
      </c>
      <c r="C4" s="5"/>
      <c r="D4" s="5" t="s">
        <v>3</v>
      </c>
      <c r="E4" s="5"/>
      <c r="F4" s="5" t="s">
        <v>3</v>
      </c>
      <c r="G4" s="5"/>
      <c r="H4" s="5" t="s">
        <v>4</v>
      </c>
      <c r="I4" s="5"/>
      <c r="J4" s="5" t="s">
        <v>13</v>
      </c>
      <c r="K4" s="5"/>
      <c r="L4" s="5" t="s">
        <v>13</v>
      </c>
      <c r="M4" s="5"/>
      <c r="N4" s="5" t="s">
        <v>6</v>
      </c>
      <c r="O4" s="5"/>
      <c r="P4" s="5" t="s">
        <v>6</v>
      </c>
      <c r="Q4" s="5"/>
      <c r="R4" s="5" t="s">
        <v>6</v>
      </c>
      <c r="S4" s="5"/>
    </row>
    <row r="5" spans="4:27" ht="12.75">
      <c r="D5" s="5" t="s">
        <v>11</v>
      </c>
      <c r="E5" s="5"/>
      <c r="F5" s="5" t="s">
        <v>12</v>
      </c>
      <c r="G5" s="5"/>
      <c r="J5" s="5" t="s">
        <v>11</v>
      </c>
      <c r="K5" s="5"/>
      <c r="L5" s="5" t="s">
        <v>12</v>
      </c>
      <c r="M5" s="5"/>
      <c r="P5" s="5" t="s">
        <v>11</v>
      </c>
      <c r="Q5" s="5"/>
      <c r="R5" s="5" t="s">
        <v>12</v>
      </c>
      <c r="S5" s="5"/>
      <c r="T5" s="5" t="s">
        <v>5</v>
      </c>
      <c r="U5" s="5"/>
      <c r="V5" s="5" t="s">
        <v>7</v>
      </c>
      <c r="W5" s="6"/>
      <c r="X5" s="5" t="s">
        <v>8</v>
      </c>
      <c r="Y5" s="6"/>
      <c r="Z5" s="5" t="s">
        <v>10</v>
      </c>
      <c r="AA5" s="6"/>
    </row>
    <row r="6" spans="2:27" ht="12.75">
      <c r="B6" s="1" t="s">
        <v>1</v>
      </c>
      <c r="C6" s="1" t="s">
        <v>2</v>
      </c>
      <c r="D6" s="1" t="s">
        <v>1</v>
      </c>
      <c r="E6" s="1" t="s">
        <v>2</v>
      </c>
      <c r="F6" s="1" t="s">
        <v>1</v>
      </c>
      <c r="G6" s="1" t="s">
        <v>2</v>
      </c>
      <c r="H6" s="1" t="s">
        <v>1</v>
      </c>
      <c r="I6" s="1" t="s">
        <v>2</v>
      </c>
      <c r="J6" s="1" t="s">
        <v>1</v>
      </c>
      <c r="K6" s="1" t="s">
        <v>2</v>
      </c>
      <c r="L6" s="1" t="s">
        <v>1</v>
      </c>
      <c r="M6" s="1" t="s">
        <v>2</v>
      </c>
      <c r="N6" s="1" t="s">
        <v>1</v>
      </c>
      <c r="O6" s="1" t="s">
        <v>2</v>
      </c>
      <c r="P6" s="1" t="s">
        <v>1</v>
      </c>
      <c r="Q6" s="1" t="s">
        <v>2</v>
      </c>
      <c r="R6" s="1" t="s">
        <v>1</v>
      </c>
      <c r="S6" s="1" t="s">
        <v>2</v>
      </c>
      <c r="T6" s="1" t="s">
        <v>1</v>
      </c>
      <c r="U6" s="1" t="s">
        <v>2</v>
      </c>
      <c r="V6" s="1" t="s">
        <v>1</v>
      </c>
      <c r="W6" s="1" t="s">
        <v>2</v>
      </c>
      <c r="X6" s="1" t="s">
        <v>1</v>
      </c>
      <c r="Y6" s="1" t="s">
        <v>2</v>
      </c>
      <c r="Z6" s="1" t="s">
        <v>1</v>
      </c>
      <c r="AA6" s="1" t="s">
        <v>2</v>
      </c>
    </row>
    <row r="7" spans="2:2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4">
        <v>38231</v>
      </c>
      <c r="B8" s="7">
        <f>Contracts!B8</f>
        <v>1475</v>
      </c>
      <c r="C8" s="7">
        <f>1771+1386</f>
        <v>3157</v>
      </c>
      <c r="D8" s="7">
        <f>Contracts!D8</f>
        <v>124</v>
      </c>
      <c r="E8" s="7">
        <f>105+31</f>
        <v>136</v>
      </c>
      <c r="F8" s="7">
        <f aca="true" t="shared" si="0" ref="F8:G10">B8-D8</f>
        <v>1351</v>
      </c>
      <c r="G8" s="7">
        <f t="shared" si="0"/>
        <v>3021</v>
      </c>
      <c r="H8" s="7">
        <f>Contracts!H8</f>
        <v>0</v>
      </c>
      <c r="I8" s="7">
        <v>0</v>
      </c>
      <c r="J8" s="7">
        <f>Contracts!J8</f>
        <v>0</v>
      </c>
      <c r="K8" s="7">
        <v>0</v>
      </c>
      <c r="L8" s="7">
        <f aca="true" t="shared" si="1" ref="L8:M10">H8-J8</f>
        <v>0</v>
      </c>
      <c r="M8" s="7">
        <f t="shared" si="1"/>
        <v>0</v>
      </c>
      <c r="N8" s="7">
        <f>Contracts!N8</f>
        <v>847</v>
      </c>
      <c r="O8" s="7">
        <v>7115</v>
      </c>
      <c r="P8" s="7">
        <f>Contracts!P8</f>
        <v>34</v>
      </c>
      <c r="Q8" s="7">
        <v>54</v>
      </c>
      <c r="R8" s="7">
        <f aca="true" t="shared" si="2" ref="R8:S10">N8-P8</f>
        <v>813</v>
      </c>
      <c r="S8" s="7">
        <f t="shared" si="2"/>
        <v>7061</v>
      </c>
      <c r="T8" s="7">
        <f>Contracts!T8</f>
        <v>5230</v>
      </c>
      <c r="U8" s="7">
        <v>4760</v>
      </c>
      <c r="V8" s="7">
        <f>Contracts!V8</f>
        <v>154</v>
      </c>
      <c r="W8" s="7">
        <v>340</v>
      </c>
      <c r="X8" s="7">
        <f>Contracts!X8</f>
        <v>36</v>
      </c>
      <c r="Y8" s="7">
        <v>285</v>
      </c>
      <c r="Z8" s="7">
        <f>Contracts!Z8</f>
        <v>166</v>
      </c>
      <c r="AA8" s="7">
        <v>138</v>
      </c>
    </row>
    <row r="9" spans="1:27" ht="12.75">
      <c r="A9" s="4">
        <v>38200</v>
      </c>
      <c r="B9" s="7">
        <f>Contracts!B9</f>
        <v>1446</v>
      </c>
      <c r="C9" s="7">
        <f>1699+1399</f>
        <v>3098</v>
      </c>
      <c r="D9" s="7">
        <f>Contracts!D9</f>
        <v>109</v>
      </c>
      <c r="E9" s="7">
        <f>105+33</f>
        <v>138</v>
      </c>
      <c r="F9" s="7">
        <f t="shared" si="0"/>
        <v>1337</v>
      </c>
      <c r="G9" s="7">
        <f t="shared" si="0"/>
        <v>2960</v>
      </c>
      <c r="H9" s="7">
        <f>Contracts!H9</f>
        <v>0</v>
      </c>
      <c r="I9" s="7">
        <v>0</v>
      </c>
      <c r="J9" s="7">
        <f>Contracts!J9</f>
        <v>0</v>
      </c>
      <c r="K9" s="7">
        <v>0</v>
      </c>
      <c r="L9" s="7">
        <f t="shared" si="1"/>
        <v>0</v>
      </c>
      <c r="M9" s="7">
        <f t="shared" si="1"/>
        <v>0</v>
      </c>
      <c r="N9" s="7">
        <f>Contracts!N9</f>
        <v>836</v>
      </c>
      <c r="O9" s="7">
        <v>7095</v>
      </c>
      <c r="P9" s="7">
        <f>Contracts!P9</f>
        <v>29</v>
      </c>
      <c r="Q9" s="7">
        <v>63</v>
      </c>
      <c r="R9" s="7">
        <f t="shared" si="2"/>
        <v>807</v>
      </c>
      <c r="S9" s="7">
        <f t="shared" si="2"/>
        <v>7032</v>
      </c>
      <c r="T9" s="7">
        <f>Contracts!T9</f>
        <v>5232</v>
      </c>
      <c r="U9" s="7">
        <v>4750</v>
      </c>
      <c r="V9" s="7">
        <f>Contracts!V9</f>
        <v>149</v>
      </c>
      <c r="W9" s="7">
        <v>341</v>
      </c>
      <c r="X9" s="7">
        <f>Contracts!X9</f>
        <v>36</v>
      </c>
      <c r="Y9" s="7">
        <v>292</v>
      </c>
      <c r="Z9" s="7">
        <f>Contracts!Z9</f>
        <v>165</v>
      </c>
      <c r="AA9" s="7">
        <v>142</v>
      </c>
    </row>
    <row r="10" spans="1:27" ht="12.75">
      <c r="A10" s="4">
        <v>38169</v>
      </c>
      <c r="B10" s="7">
        <f>Contracts!B10</f>
        <v>1443</v>
      </c>
      <c r="C10" s="7">
        <f>1619+1428</f>
        <v>3047</v>
      </c>
      <c r="D10" s="7">
        <f>Contracts!D10</f>
        <v>111</v>
      </c>
      <c r="E10" s="7">
        <f>105+35</f>
        <v>140</v>
      </c>
      <c r="F10" s="7">
        <f t="shared" si="0"/>
        <v>1332</v>
      </c>
      <c r="G10" s="7">
        <f t="shared" si="0"/>
        <v>2907</v>
      </c>
      <c r="H10" s="7">
        <f>Contracts!H10</f>
        <v>0</v>
      </c>
      <c r="I10" s="7">
        <v>0</v>
      </c>
      <c r="J10" s="7">
        <f>Contracts!J10</f>
        <v>0</v>
      </c>
      <c r="K10" s="7">
        <v>0</v>
      </c>
      <c r="L10" s="7">
        <f t="shared" si="1"/>
        <v>0</v>
      </c>
      <c r="M10" s="7">
        <f t="shared" si="1"/>
        <v>0</v>
      </c>
      <c r="N10" s="7">
        <f>Contracts!N10</f>
        <v>856</v>
      </c>
      <c r="O10" s="7">
        <v>7066</v>
      </c>
      <c r="P10" s="7">
        <f>Contracts!P10</f>
        <v>39</v>
      </c>
      <c r="Q10" s="7">
        <v>66</v>
      </c>
      <c r="R10" s="7">
        <f t="shared" si="2"/>
        <v>817</v>
      </c>
      <c r="S10" s="7">
        <f t="shared" si="2"/>
        <v>7000</v>
      </c>
      <c r="T10" s="7">
        <f>Contracts!T10</f>
        <v>5232</v>
      </c>
      <c r="U10" s="7">
        <v>4768</v>
      </c>
      <c r="V10" s="7">
        <f>Contracts!V10</f>
        <v>147</v>
      </c>
      <c r="W10" s="7">
        <v>347</v>
      </c>
      <c r="X10" s="7">
        <f>Contracts!X10</f>
        <v>36</v>
      </c>
      <c r="Y10" s="7">
        <v>285</v>
      </c>
      <c r="Z10" s="7">
        <f>Contracts!Z10</f>
        <v>164</v>
      </c>
      <c r="AA10" s="7">
        <v>142</v>
      </c>
    </row>
    <row r="11" spans="1:27" ht="12.75">
      <c r="A11" s="4">
        <v>38139</v>
      </c>
      <c r="B11" s="7">
        <f>Contracts!B11</f>
        <v>1427</v>
      </c>
      <c r="C11" s="7">
        <f>1562+1433</f>
        <v>2995</v>
      </c>
      <c r="D11" s="7">
        <f>Contracts!D11</f>
        <v>95</v>
      </c>
      <c r="E11" s="7">
        <f>64+35</f>
        <v>99</v>
      </c>
      <c r="F11" s="7">
        <f aca="true" t="shared" si="3" ref="F11:F31">B11-D11</f>
        <v>1332</v>
      </c>
      <c r="G11" s="7">
        <f aca="true" t="shared" si="4" ref="G11:G31">C11-E11</f>
        <v>2896</v>
      </c>
      <c r="H11" s="7">
        <f>Contracts!H11</f>
        <v>0</v>
      </c>
      <c r="I11" s="7">
        <v>0</v>
      </c>
      <c r="J11" s="7">
        <f>Contracts!J11</f>
        <v>0</v>
      </c>
      <c r="K11" s="7">
        <v>0</v>
      </c>
      <c r="L11" s="7">
        <f aca="true" t="shared" si="5" ref="L11:L31">H11-J11</f>
        <v>0</v>
      </c>
      <c r="M11" s="7">
        <f aca="true" t="shared" si="6" ref="M11:M31">I11-K11</f>
        <v>0</v>
      </c>
      <c r="N11" s="7">
        <f>Contracts!N11</f>
        <v>853</v>
      </c>
      <c r="O11" s="7">
        <v>7044</v>
      </c>
      <c r="P11" s="7">
        <f>Contracts!P11</f>
        <v>35</v>
      </c>
      <c r="Q11" s="7">
        <v>65</v>
      </c>
      <c r="R11" s="7">
        <f aca="true" t="shared" si="7" ref="R11:R31">N11-P11</f>
        <v>818</v>
      </c>
      <c r="S11" s="7">
        <f aca="true" t="shared" si="8" ref="S11:S31">O11-Q11</f>
        <v>6979</v>
      </c>
      <c r="T11" s="7">
        <f>Contracts!T11</f>
        <v>5259</v>
      </c>
      <c r="U11" s="7">
        <v>4786</v>
      </c>
      <c r="V11" s="7">
        <f>Contracts!V11</f>
        <v>146</v>
      </c>
      <c r="W11" s="7">
        <v>346</v>
      </c>
      <c r="X11" s="7">
        <f>Contracts!X11</f>
        <v>36</v>
      </c>
      <c r="Y11" s="7">
        <v>285</v>
      </c>
      <c r="Z11" s="7">
        <f>Contracts!Z11</f>
        <v>164</v>
      </c>
      <c r="AA11" s="7">
        <v>142</v>
      </c>
    </row>
    <row r="12" spans="1:27" ht="12.75">
      <c r="A12" s="4">
        <v>38108</v>
      </c>
      <c r="B12" s="7">
        <f>Contracts!B12</f>
        <v>1432</v>
      </c>
      <c r="C12" s="7">
        <f>1545+1436</f>
        <v>2981</v>
      </c>
      <c r="D12" s="7">
        <f>Contracts!D12</f>
        <v>95</v>
      </c>
      <c r="E12" s="7">
        <f>54+35</f>
        <v>89</v>
      </c>
      <c r="F12" s="7">
        <f t="shared" si="3"/>
        <v>1337</v>
      </c>
      <c r="G12" s="7">
        <f t="shared" si="4"/>
        <v>2892</v>
      </c>
      <c r="H12" s="7">
        <f>Contracts!H12</f>
        <v>0</v>
      </c>
      <c r="I12" s="7">
        <v>0</v>
      </c>
      <c r="J12" s="7">
        <f>Contracts!J12</f>
        <v>0</v>
      </c>
      <c r="K12" s="7">
        <v>0</v>
      </c>
      <c r="L12" s="7">
        <f t="shared" si="5"/>
        <v>0</v>
      </c>
      <c r="M12" s="7">
        <f t="shared" si="6"/>
        <v>0</v>
      </c>
      <c r="N12" s="7">
        <f>Contracts!N12</f>
        <v>850</v>
      </c>
      <c r="O12" s="7">
        <v>7029</v>
      </c>
      <c r="P12" s="7">
        <f>Contracts!P12</f>
        <v>35</v>
      </c>
      <c r="Q12" s="7">
        <v>58</v>
      </c>
      <c r="R12" s="7">
        <f t="shared" si="7"/>
        <v>815</v>
      </c>
      <c r="S12" s="7">
        <f t="shared" si="8"/>
        <v>6971</v>
      </c>
      <c r="T12" s="7">
        <f>Contracts!T12</f>
        <v>5282</v>
      </c>
      <c r="U12" s="7">
        <v>4800</v>
      </c>
      <c r="V12" s="7">
        <f>Contracts!V12</f>
        <v>149</v>
      </c>
      <c r="W12" s="7">
        <v>348</v>
      </c>
      <c r="X12" s="7">
        <f>Contracts!X12</f>
        <v>37</v>
      </c>
      <c r="Y12" s="7">
        <v>288</v>
      </c>
      <c r="Z12" s="7">
        <f>Contracts!Z12</f>
        <v>166</v>
      </c>
      <c r="AA12" s="7">
        <v>142</v>
      </c>
    </row>
    <row r="13" spans="1:27" ht="12.75">
      <c r="A13" s="4">
        <v>38078</v>
      </c>
      <c r="B13" s="7">
        <f>Contracts!B13</f>
        <v>1448</v>
      </c>
      <c r="C13" s="7">
        <f>1535+1444</f>
        <v>2979</v>
      </c>
      <c r="D13" s="7">
        <f>Contracts!D13</f>
        <v>92</v>
      </c>
      <c r="E13" s="7">
        <f>58+35</f>
        <v>93</v>
      </c>
      <c r="F13" s="7">
        <f t="shared" si="3"/>
        <v>1356</v>
      </c>
      <c r="G13" s="7">
        <f t="shared" si="4"/>
        <v>2886</v>
      </c>
      <c r="H13" s="7">
        <f>Contracts!H13</f>
        <v>0</v>
      </c>
      <c r="I13" s="7">
        <v>0</v>
      </c>
      <c r="J13" s="7">
        <f>Contracts!J13</f>
        <v>0</v>
      </c>
      <c r="K13" s="7">
        <v>0</v>
      </c>
      <c r="L13" s="7">
        <f t="shared" si="5"/>
        <v>0</v>
      </c>
      <c r="M13" s="7">
        <f t="shared" si="6"/>
        <v>0</v>
      </c>
      <c r="N13" s="7">
        <f>Contracts!N13</f>
        <v>851</v>
      </c>
      <c r="O13" s="7">
        <v>7024</v>
      </c>
      <c r="P13" s="7">
        <f>Contracts!P13</f>
        <v>36</v>
      </c>
      <c r="Q13" s="7">
        <v>58</v>
      </c>
      <c r="R13" s="7">
        <f t="shared" si="7"/>
        <v>815</v>
      </c>
      <c r="S13" s="7">
        <f t="shared" si="8"/>
        <v>6966</v>
      </c>
      <c r="T13" s="7">
        <f>Contracts!T13</f>
        <v>5303</v>
      </c>
      <c r="U13" s="7">
        <v>4818</v>
      </c>
      <c r="V13" s="7">
        <f>Contracts!V13</f>
        <v>156</v>
      </c>
      <c r="W13" s="7">
        <v>350</v>
      </c>
      <c r="X13" s="7">
        <f>Contracts!X13</f>
        <v>37</v>
      </c>
      <c r="Y13" s="7">
        <v>288</v>
      </c>
      <c r="Z13" s="7">
        <f>Contracts!Z13</f>
        <v>166</v>
      </c>
      <c r="AA13" s="7">
        <v>146</v>
      </c>
    </row>
    <row r="14" spans="1:27" ht="12.75">
      <c r="A14" s="4">
        <v>38047</v>
      </c>
      <c r="B14" s="7">
        <f>Contracts!B14</f>
        <v>1473</v>
      </c>
      <c r="C14" s="7">
        <f>1549+1479</f>
        <v>3028</v>
      </c>
      <c r="D14" s="7">
        <f>Contracts!D14</f>
        <v>95</v>
      </c>
      <c r="E14" s="7">
        <f>58+35</f>
        <v>93</v>
      </c>
      <c r="F14" s="7">
        <f t="shared" si="3"/>
        <v>1378</v>
      </c>
      <c r="G14" s="7">
        <f t="shared" si="4"/>
        <v>2935</v>
      </c>
      <c r="H14" s="7">
        <f>Contracts!H14</f>
        <v>0</v>
      </c>
      <c r="I14" s="7">
        <v>0</v>
      </c>
      <c r="J14" s="7">
        <f>Contracts!J14</f>
        <v>0</v>
      </c>
      <c r="K14" s="7">
        <v>0</v>
      </c>
      <c r="L14" s="7">
        <f t="shared" si="5"/>
        <v>0</v>
      </c>
      <c r="M14" s="7">
        <f t="shared" si="6"/>
        <v>0</v>
      </c>
      <c r="N14" s="7">
        <f>Contracts!N14</f>
        <v>853</v>
      </c>
      <c r="O14" s="7">
        <v>7026</v>
      </c>
      <c r="P14" s="7">
        <f>Contracts!P14</f>
        <v>34</v>
      </c>
      <c r="Q14" s="7">
        <v>58</v>
      </c>
      <c r="R14" s="7">
        <f t="shared" si="7"/>
        <v>819</v>
      </c>
      <c r="S14" s="7">
        <f t="shared" si="8"/>
        <v>6968</v>
      </c>
      <c r="T14" s="7">
        <f>Contracts!T14</f>
        <v>5325</v>
      </c>
      <c r="U14" s="7">
        <v>4832</v>
      </c>
      <c r="V14" s="7">
        <f>Contracts!V14</f>
        <v>158</v>
      </c>
      <c r="W14" s="7">
        <v>348</v>
      </c>
      <c r="X14" s="7">
        <f>Contracts!X14</f>
        <v>37</v>
      </c>
      <c r="Y14" s="7">
        <v>292</v>
      </c>
      <c r="Z14" s="7">
        <f>Contracts!Z14</f>
        <v>167</v>
      </c>
      <c r="AA14" s="7">
        <v>146</v>
      </c>
    </row>
    <row r="15" spans="1:27" ht="12.75">
      <c r="A15" s="4">
        <v>38018</v>
      </c>
      <c r="B15" s="7">
        <f>Contracts!B15</f>
        <v>1481</v>
      </c>
      <c r="C15" s="7">
        <f>1536+1496</f>
        <v>3032</v>
      </c>
      <c r="D15" s="7">
        <f>Contracts!D15</f>
        <v>89</v>
      </c>
      <c r="E15" s="7">
        <f>61+34</f>
        <v>95</v>
      </c>
      <c r="F15" s="7">
        <f t="shared" si="3"/>
        <v>1392</v>
      </c>
      <c r="G15" s="7">
        <f t="shared" si="4"/>
        <v>2937</v>
      </c>
      <c r="H15" s="7">
        <f>Contracts!H15</f>
        <v>0</v>
      </c>
      <c r="I15" s="7">
        <v>0</v>
      </c>
      <c r="J15" s="7">
        <f>Contracts!J15</f>
        <v>0</v>
      </c>
      <c r="K15" s="7">
        <v>0</v>
      </c>
      <c r="L15" s="7">
        <f t="shared" si="5"/>
        <v>0</v>
      </c>
      <c r="M15" s="7">
        <f t="shared" si="6"/>
        <v>0</v>
      </c>
      <c r="N15" s="7">
        <f>Contracts!N15</f>
        <v>850</v>
      </c>
      <c r="O15" s="7">
        <v>7026</v>
      </c>
      <c r="P15" s="7">
        <f>Contracts!P15</f>
        <v>35</v>
      </c>
      <c r="Q15" s="7">
        <v>59</v>
      </c>
      <c r="R15" s="7">
        <f t="shared" si="7"/>
        <v>815</v>
      </c>
      <c r="S15" s="7">
        <f t="shared" si="8"/>
        <v>6967</v>
      </c>
      <c r="T15" s="7">
        <f>Contracts!T15</f>
        <v>5348</v>
      </c>
      <c r="U15" s="7">
        <v>4838</v>
      </c>
      <c r="V15" s="7">
        <f>Contracts!V15</f>
        <v>160</v>
      </c>
      <c r="W15" s="7">
        <v>372</v>
      </c>
      <c r="X15" s="7">
        <f>Contracts!X15</f>
        <v>37</v>
      </c>
      <c r="Y15" s="7">
        <v>292</v>
      </c>
      <c r="Z15" s="7">
        <f>Contracts!Z15</f>
        <v>168</v>
      </c>
      <c r="AA15" s="7">
        <v>146</v>
      </c>
    </row>
    <row r="16" spans="1:27" ht="12.75">
      <c r="A16" s="4">
        <v>37987</v>
      </c>
      <c r="B16" s="7">
        <f>Contracts!B16</f>
        <v>1474</v>
      </c>
      <c r="C16" s="7">
        <f>1501+1523</f>
        <v>3024</v>
      </c>
      <c r="D16" s="7">
        <f>Contracts!D16</f>
        <v>83</v>
      </c>
      <c r="E16" s="7">
        <f>49+36</f>
        <v>85</v>
      </c>
      <c r="F16" s="7">
        <f t="shared" si="3"/>
        <v>1391</v>
      </c>
      <c r="G16" s="7">
        <f t="shared" si="4"/>
        <v>2939</v>
      </c>
      <c r="H16" s="7">
        <f>Contracts!H16</f>
        <v>0</v>
      </c>
      <c r="I16" s="7">
        <v>0</v>
      </c>
      <c r="J16" s="7">
        <f>Contracts!J16</f>
        <v>0</v>
      </c>
      <c r="K16" s="7">
        <v>0</v>
      </c>
      <c r="L16" s="7">
        <f t="shared" si="5"/>
        <v>0</v>
      </c>
      <c r="M16" s="7">
        <f t="shared" si="6"/>
        <v>0</v>
      </c>
      <c r="N16" s="7">
        <f>Contracts!N16</f>
        <v>844</v>
      </c>
      <c r="O16" s="7">
        <v>7004</v>
      </c>
      <c r="P16" s="7">
        <f>Contracts!P16</f>
        <v>33</v>
      </c>
      <c r="Q16" s="7">
        <v>56</v>
      </c>
      <c r="R16" s="7">
        <f t="shared" si="7"/>
        <v>811</v>
      </c>
      <c r="S16" s="7">
        <f t="shared" si="8"/>
        <v>6948</v>
      </c>
      <c r="T16" s="7">
        <f>Contracts!T16</f>
        <v>5376</v>
      </c>
      <c r="U16" s="7">
        <v>4876</v>
      </c>
      <c r="V16" s="7">
        <f>Contracts!V16</f>
        <v>159</v>
      </c>
      <c r="W16" s="7">
        <v>372</v>
      </c>
      <c r="X16" s="7">
        <f>Contracts!X16</f>
        <v>43</v>
      </c>
      <c r="Y16" s="7">
        <v>343</v>
      </c>
      <c r="Z16" s="7">
        <f>Contracts!Z16</f>
        <v>168</v>
      </c>
      <c r="AA16" s="7">
        <v>150</v>
      </c>
    </row>
    <row r="17" spans="1:27" ht="12.75">
      <c r="A17" s="4">
        <v>37956</v>
      </c>
      <c r="B17" s="7">
        <f>Contracts!B17</f>
        <v>598</v>
      </c>
      <c r="C17" s="7">
        <v>702</v>
      </c>
      <c r="D17" s="7">
        <f>Contracts!D17</f>
        <v>20</v>
      </c>
      <c r="E17" s="7">
        <v>27</v>
      </c>
      <c r="F17" s="7">
        <f t="shared" si="3"/>
        <v>578</v>
      </c>
      <c r="G17" s="7">
        <f t="shared" si="4"/>
        <v>675</v>
      </c>
      <c r="H17" s="7">
        <f>Contracts!H17</f>
        <v>975</v>
      </c>
      <c r="I17" s="7">
        <v>2606</v>
      </c>
      <c r="J17" s="7">
        <f>Contracts!J17</f>
        <v>70</v>
      </c>
      <c r="K17" s="7">
        <v>61</v>
      </c>
      <c r="L17" s="7">
        <f t="shared" si="5"/>
        <v>905</v>
      </c>
      <c r="M17" s="7">
        <f t="shared" si="6"/>
        <v>2545</v>
      </c>
      <c r="N17" s="7">
        <f>Contracts!N17</f>
        <v>24</v>
      </c>
      <c r="O17" s="7">
        <v>262</v>
      </c>
      <c r="P17" s="7">
        <f>Contracts!P17</f>
        <v>0</v>
      </c>
      <c r="Q17" s="7">
        <v>0</v>
      </c>
      <c r="R17" s="7">
        <f t="shared" si="7"/>
        <v>24</v>
      </c>
      <c r="S17" s="7">
        <f t="shared" si="8"/>
        <v>262</v>
      </c>
      <c r="T17" s="7">
        <f>Contracts!T17</f>
        <v>5151</v>
      </c>
      <c r="U17" s="7">
        <v>4504</v>
      </c>
      <c r="V17" s="7">
        <f>Contracts!V17</f>
        <v>201</v>
      </c>
      <c r="W17" s="7">
        <v>527</v>
      </c>
      <c r="X17" s="7">
        <f>Contracts!X17</f>
        <v>0</v>
      </c>
      <c r="Y17" s="7">
        <v>0</v>
      </c>
      <c r="Z17" s="7">
        <f>Contracts!Z17</f>
        <v>162</v>
      </c>
      <c r="AA17" s="7">
        <v>144</v>
      </c>
    </row>
    <row r="18" spans="1:27" ht="12.75">
      <c r="A18" s="4">
        <v>37926</v>
      </c>
      <c r="B18" s="7">
        <f>Contracts!B18</f>
        <v>604</v>
      </c>
      <c r="C18" s="7">
        <v>711</v>
      </c>
      <c r="D18" s="7">
        <f>Contracts!D18</f>
        <v>19</v>
      </c>
      <c r="E18" s="7">
        <v>33</v>
      </c>
      <c r="F18" s="7">
        <f t="shared" si="3"/>
        <v>585</v>
      </c>
      <c r="G18" s="7">
        <f t="shared" si="4"/>
        <v>678</v>
      </c>
      <c r="H18" s="7">
        <f>Contracts!H18</f>
        <v>983</v>
      </c>
      <c r="I18" s="7">
        <v>2613</v>
      </c>
      <c r="J18" s="7">
        <f>Contracts!J18</f>
        <v>73</v>
      </c>
      <c r="K18" s="7">
        <v>64</v>
      </c>
      <c r="L18" s="7">
        <f t="shared" si="5"/>
        <v>910</v>
      </c>
      <c r="M18" s="7">
        <f t="shared" si="6"/>
        <v>2549</v>
      </c>
      <c r="N18" s="7">
        <f>Contracts!N18</f>
        <v>24</v>
      </c>
      <c r="O18" s="7">
        <v>262</v>
      </c>
      <c r="P18" s="7">
        <f>Contracts!P18</f>
        <v>0</v>
      </c>
      <c r="Q18" s="7">
        <v>0</v>
      </c>
      <c r="R18" s="7">
        <f t="shared" si="7"/>
        <v>24</v>
      </c>
      <c r="S18" s="7">
        <f t="shared" si="8"/>
        <v>262</v>
      </c>
      <c r="T18" s="7">
        <f>Contracts!T18</f>
        <v>5184</v>
      </c>
      <c r="U18" s="7">
        <v>4504</v>
      </c>
      <c r="V18" s="7">
        <f>Contracts!V18</f>
        <v>199</v>
      </c>
      <c r="W18" s="7">
        <v>531</v>
      </c>
      <c r="X18" s="7">
        <f>Contracts!X18</f>
        <v>0</v>
      </c>
      <c r="Y18" s="7">
        <v>0</v>
      </c>
      <c r="Z18" s="7">
        <f>Contracts!Z18</f>
        <v>161</v>
      </c>
      <c r="AA18" s="7">
        <v>144</v>
      </c>
    </row>
    <row r="19" spans="1:27" ht="12.75">
      <c r="A19" s="4">
        <v>37895</v>
      </c>
      <c r="B19" s="7">
        <f>Contracts!B19</f>
        <v>606</v>
      </c>
      <c r="C19" s="7">
        <v>729</v>
      </c>
      <c r="D19" s="7">
        <f>Contracts!D19</f>
        <v>22</v>
      </c>
      <c r="E19" s="7">
        <v>33</v>
      </c>
      <c r="F19" s="7">
        <f t="shared" si="3"/>
        <v>584</v>
      </c>
      <c r="G19" s="7">
        <f t="shared" si="4"/>
        <v>696</v>
      </c>
      <c r="H19" s="7">
        <f>Contracts!H19</f>
        <v>1006</v>
      </c>
      <c r="I19" s="7">
        <v>2644</v>
      </c>
      <c r="J19" s="7">
        <f>Contracts!J19</f>
        <v>83</v>
      </c>
      <c r="K19" s="7">
        <v>72</v>
      </c>
      <c r="L19" s="7">
        <f t="shared" si="5"/>
        <v>923</v>
      </c>
      <c r="M19" s="7">
        <f t="shared" si="6"/>
        <v>2572</v>
      </c>
      <c r="N19" s="7">
        <f>Contracts!N19</f>
        <v>21</v>
      </c>
      <c r="O19" s="7">
        <v>258</v>
      </c>
      <c r="P19" s="7">
        <f>Contracts!P19</f>
        <v>0</v>
      </c>
      <c r="Q19" s="7">
        <v>0</v>
      </c>
      <c r="R19" s="7">
        <f t="shared" si="7"/>
        <v>21</v>
      </c>
      <c r="S19" s="7">
        <f t="shared" si="8"/>
        <v>258</v>
      </c>
      <c r="T19" s="7">
        <f>Contracts!T19</f>
        <v>5194</v>
      </c>
      <c r="U19" s="7">
        <v>4506</v>
      </c>
      <c r="V19" s="7">
        <f>Contracts!V19</f>
        <v>199</v>
      </c>
      <c r="W19" s="7">
        <v>531</v>
      </c>
      <c r="X19" s="7">
        <f>Contracts!X19</f>
        <v>0</v>
      </c>
      <c r="Y19" s="7">
        <v>0</v>
      </c>
      <c r="Z19" s="7">
        <f>Contracts!Z19</f>
        <v>163</v>
      </c>
      <c r="AA19" s="7">
        <v>142</v>
      </c>
    </row>
    <row r="20" spans="1:27" ht="12.75">
      <c r="A20" s="4">
        <v>37865</v>
      </c>
      <c r="B20" s="7">
        <f>Contracts!B20</f>
        <v>552</v>
      </c>
      <c r="C20" s="7">
        <v>723</v>
      </c>
      <c r="D20" s="7">
        <f>Contracts!D20</f>
        <v>18</v>
      </c>
      <c r="E20" s="7">
        <v>33</v>
      </c>
      <c r="F20" s="7">
        <f t="shared" si="3"/>
        <v>534</v>
      </c>
      <c r="G20" s="7">
        <f t="shared" si="4"/>
        <v>690</v>
      </c>
      <c r="H20" s="7">
        <f>Contracts!H20</f>
        <v>995</v>
      </c>
      <c r="I20" s="7">
        <v>2668</v>
      </c>
      <c r="J20" s="7">
        <f>Contracts!J20</f>
        <v>78</v>
      </c>
      <c r="K20" s="7">
        <v>86</v>
      </c>
      <c r="L20" s="7">
        <f t="shared" si="5"/>
        <v>917</v>
      </c>
      <c r="M20" s="7">
        <f t="shared" si="6"/>
        <v>2582</v>
      </c>
      <c r="N20" s="7">
        <f>Contracts!N20</f>
        <v>21</v>
      </c>
      <c r="O20" s="7">
        <v>258</v>
      </c>
      <c r="P20" s="7">
        <f>Contracts!P20</f>
        <v>0</v>
      </c>
      <c r="Q20" s="7">
        <v>0</v>
      </c>
      <c r="R20" s="7">
        <f t="shared" si="7"/>
        <v>21</v>
      </c>
      <c r="S20" s="7">
        <f t="shared" si="8"/>
        <v>258</v>
      </c>
      <c r="T20" s="7">
        <f>Contracts!T20</f>
        <v>5199</v>
      </c>
      <c r="U20" s="7">
        <v>4512</v>
      </c>
      <c r="V20" s="7">
        <f>Contracts!V20</f>
        <v>182</v>
      </c>
      <c r="W20" s="7">
        <v>520</v>
      </c>
      <c r="X20" s="7">
        <f>Contracts!X20</f>
        <v>0</v>
      </c>
      <c r="Y20" s="7">
        <v>0</v>
      </c>
      <c r="Z20" s="7">
        <f>Contracts!Z20</f>
        <v>163</v>
      </c>
      <c r="AA20" s="7">
        <v>142</v>
      </c>
    </row>
    <row r="21" spans="1:27" ht="12.75">
      <c r="A21" s="4">
        <v>37834</v>
      </c>
      <c r="B21" s="7">
        <f>Contracts!B21</f>
        <v>548</v>
      </c>
      <c r="C21" s="7">
        <v>719</v>
      </c>
      <c r="D21" s="7">
        <f>Contracts!D21</f>
        <v>17</v>
      </c>
      <c r="E21" s="7">
        <v>31</v>
      </c>
      <c r="F21" s="7">
        <f t="shared" si="3"/>
        <v>531</v>
      </c>
      <c r="G21" s="7">
        <f t="shared" si="4"/>
        <v>688</v>
      </c>
      <c r="H21" s="7">
        <f>Contracts!H21</f>
        <v>989</v>
      </c>
      <c r="I21" s="7">
        <v>2694</v>
      </c>
      <c r="J21" s="7">
        <f>Contracts!J21</f>
        <v>65</v>
      </c>
      <c r="K21" s="7">
        <v>97</v>
      </c>
      <c r="L21" s="7">
        <f t="shared" si="5"/>
        <v>924</v>
      </c>
      <c r="M21" s="7">
        <f t="shared" si="6"/>
        <v>2597</v>
      </c>
      <c r="N21" s="7">
        <f>Contracts!N21</f>
        <v>21</v>
      </c>
      <c r="O21" s="7">
        <v>258</v>
      </c>
      <c r="P21" s="7">
        <f>Contracts!P21</f>
        <v>0</v>
      </c>
      <c r="Q21" s="7">
        <v>0</v>
      </c>
      <c r="R21" s="7">
        <f t="shared" si="7"/>
        <v>21</v>
      </c>
      <c r="S21" s="7">
        <f t="shared" si="8"/>
        <v>258</v>
      </c>
      <c r="T21" s="7">
        <f>Contracts!T21</f>
        <v>5209</v>
      </c>
      <c r="U21" s="7">
        <v>4524</v>
      </c>
      <c r="V21" s="7">
        <f>Contracts!V21</f>
        <v>177</v>
      </c>
      <c r="W21" s="7">
        <v>523</v>
      </c>
      <c r="X21" s="7">
        <f>Contracts!X21</f>
        <v>0</v>
      </c>
      <c r="Y21" s="7">
        <v>0</v>
      </c>
      <c r="Z21" s="7">
        <f>Contracts!Z21</f>
        <v>162</v>
      </c>
      <c r="AA21" s="7">
        <v>140</v>
      </c>
    </row>
    <row r="22" spans="1:27" ht="12.75">
      <c r="A22" s="4">
        <v>37803</v>
      </c>
      <c r="B22" s="7">
        <f>Contracts!B22</f>
        <v>561</v>
      </c>
      <c r="C22" s="7">
        <v>736</v>
      </c>
      <c r="D22" s="7">
        <f>Contracts!D22</f>
        <v>17</v>
      </c>
      <c r="E22" s="7">
        <v>31</v>
      </c>
      <c r="F22" s="7">
        <f t="shared" si="3"/>
        <v>544</v>
      </c>
      <c r="G22" s="7">
        <f t="shared" si="4"/>
        <v>705</v>
      </c>
      <c r="H22" s="7">
        <f>Contracts!H22</f>
        <v>996</v>
      </c>
      <c r="I22" s="7">
        <v>2730</v>
      </c>
      <c r="J22" s="7">
        <f>Contracts!J22</f>
        <v>69</v>
      </c>
      <c r="K22" s="7">
        <v>102</v>
      </c>
      <c r="L22" s="7">
        <f t="shared" si="5"/>
        <v>927</v>
      </c>
      <c r="M22" s="7">
        <f t="shared" si="6"/>
        <v>2628</v>
      </c>
      <c r="N22" s="7">
        <f>Contracts!N22</f>
        <v>21</v>
      </c>
      <c r="O22" s="7">
        <v>253</v>
      </c>
      <c r="P22" s="7">
        <f>Contracts!P22</f>
        <v>0</v>
      </c>
      <c r="Q22" s="7">
        <v>0</v>
      </c>
      <c r="R22" s="7">
        <f t="shared" si="7"/>
        <v>21</v>
      </c>
      <c r="S22" s="7">
        <f t="shared" si="8"/>
        <v>253</v>
      </c>
      <c r="T22" s="7">
        <f>Contracts!T22</f>
        <v>5209</v>
      </c>
      <c r="U22" s="7">
        <v>4550</v>
      </c>
      <c r="V22" s="7">
        <f>Contracts!V22</f>
        <v>177</v>
      </c>
      <c r="W22" s="7">
        <v>522</v>
      </c>
      <c r="X22" s="7">
        <f>Contracts!X22</f>
        <v>0</v>
      </c>
      <c r="Y22" s="7">
        <v>0</v>
      </c>
      <c r="Z22" s="7">
        <f>Contracts!Z22</f>
        <v>160</v>
      </c>
      <c r="AA22" s="7">
        <v>142</v>
      </c>
    </row>
    <row r="23" spans="1:27" ht="12.75">
      <c r="A23" s="4">
        <v>37773</v>
      </c>
      <c r="B23" s="7">
        <f>Contracts!B23</f>
        <v>570</v>
      </c>
      <c r="C23" s="7">
        <v>710</v>
      </c>
      <c r="D23" s="7">
        <f>Contracts!D23</f>
        <v>17</v>
      </c>
      <c r="E23" s="7">
        <v>16</v>
      </c>
      <c r="F23" s="7">
        <f t="shared" si="3"/>
        <v>553</v>
      </c>
      <c r="G23" s="7">
        <f t="shared" si="4"/>
        <v>694</v>
      </c>
      <c r="H23" s="7">
        <f>Contracts!H23</f>
        <v>984</v>
      </c>
      <c r="I23" s="7">
        <v>2715</v>
      </c>
      <c r="J23" s="7">
        <f>Contracts!J23</f>
        <v>65</v>
      </c>
      <c r="K23" s="7">
        <v>83</v>
      </c>
      <c r="L23" s="7">
        <f t="shared" si="5"/>
        <v>919</v>
      </c>
      <c r="M23" s="7">
        <f t="shared" si="6"/>
        <v>2632</v>
      </c>
      <c r="N23" s="7">
        <f>Contracts!N23</f>
        <v>21</v>
      </c>
      <c r="O23" s="7">
        <v>253</v>
      </c>
      <c r="P23" s="7">
        <f>Contracts!P23</f>
        <v>0</v>
      </c>
      <c r="Q23" s="7">
        <v>0</v>
      </c>
      <c r="R23" s="7">
        <f t="shared" si="7"/>
        <v>21</v>
      </c>
      <c r="S23" s="7">
        <f t="shared" si="8"/>
        <v>253</v>
      </c>
      <c r="T23" s="7">
        <f>Contracts!T23</f>
        <v>5223</v>
      </c>
      <c r="U23" s="7">
        <v>4558</v>
      </c>
      <c r="V23" s="7">
        <f>Contracts!V23</f>
        <v>173</v>
      </c>
      <c r="W23" s="7">
        <v>518</v>
      </c>
      <c r="X23" s="7">
        <f>Contracts!X23</f>
        <v>0</v>
      </c>
      <c r="Y23" s="7">
        <v>0</v>
      </c>
      <c r="Z23" s="7">
        <f>Contracts!Z23</f>
        <v>161</v>
      </c>
      <c r="AA23" s="7">
        <v>138</v>
      </c>
    </row>
    <row r="24" spans="1:27" ht="12.75">
      <c r="A24" s="4">
        <v>37742</v>
      </c>
      <c r="B24" s="7">
        <f>Contracts!B24</f>
        <v>575</v>
      </c>
      <c r="C24" s="7">
        <v>722</v>
      </c>
      <c r="D24" s="7">
        <f>Contracts!D24</f>
        <v>16</v>
      </c>
      <c r="E24" s="7">
        <v>16</v>
      </c>
      <c r="F24" s="7">
        <f t="shared" si="3"/>
        <v>559</v>
      </c>
      <c r="G24" s="7">
        <f t="shared" si="4"/>
        <v>706</v>
      </c>
      <c r="H24" s="7">
        <f>Contracts!H24</f>
        <v>993</v>
      </c>
      <c r="I24" s="7">
        <v>2719</v>
      </c>
      <c r="J24" s="7">
        <f>Contracts!J24</f>
        <v>67</v>
      </c>
      <c r="K24" s="7">
        <v>71</v>
      </c>
      <c r="L24" s="7">
        <f t="shared" si="5"/>
        <v>926</v>
      </c>
      <c r="M24" s="7">
        <f t="shared" si="6"/>
        <v>2648</v>
      </c>
      <c r="N24" s="7">
        <f>Contracts!N24</f>
        <v>23</v>
      </c>
      <c r="O24" s="7">
        <v>247</v>
      </c>
      <c r="P24" s="7">
        <f>Contracts!P24</f>
        <v>0</v>
      </c>
      <c r="Q24" s="7">
        <v>0</v>
      </c>
      <c r="R24" s="7">
        <f t="shared" si="7"/>
        <v>23</v>
      </c>
      <c r="S24" s="7">
        <f t="shared" si="8"/>
        <v>247</v>
      </c>
      <c r="T24" s="7">
        <f>Contracts!T24</f>
        <v>5241</v>
      </c>
      <c r="U24" s="7">
        <v>4564</v>
      </c>
      <c r="V24" s="7">
        <f>Contracts!V24</f>
        <v>172</v>
      </c>
      <c r="W24" s="7">
        <v>525</v>
      </c>
      <c r="X24" s="7">
        <f>Contracts!X24</f>
        <v>0</v>
      </c>
      <c r="Y24" s="7">
        <v>0</v>
      </c>
      <c r="Z24" s="7">
        <f>Contracts!Z24</f>
        <v>163</v>
      </c>
      <c r="AA24" s="7">
        <v>144</v>
      </c>
    </row>
    <row r="25" spans="1:27" ht="12.75">
      <c r="A25" s="4">
        <v>37712</v>
      </c>
      <c r="B25" s="7">
        <f>Contracts!B25</f>
        <v>586</v>
      </c>
      <c r="C25" s="7">
        <v>730</v>
      </c>
      <c r="D25" s="7">
        <f>Contracts!D25</f>
        <v>16</v>
      </c>
      <c r="E25" s="7">
        <v>16</v>
      </c>
      <c r="F25" s="7">
        <f t="shared" si="3"/>
        <v>570</v>
      </c>
      <c r="G25" s="7">
        <f t="shared" si="4"/>
        <v>714</v>
      </c>
      <c r="H25" s="7">
        <f>Contracts!H25</f>
        <v>998</v>
      </c>
      <c r="I25" s="7">
        <v>2721</v>
      </c>
      <c r="J25" s="7">
        <f>Contracts!J25</f>
        <v>69</v>
      </c>
      <c r="K25" s="7">
        <v>71</v>
      </c>
      <c r="L25" s="7">
        <f t="shared" si="5"/>
        <v>929</v>
      </c>
      <c r="M25" s="7">
        <f t="shared" si="6"/>
        <v>2650</v>
      </c>
      <c r="N25" s="7">
        <f>Contracts!N25</f>
        <v>22</v>
      </c>
      <c r="O25" s="7">
        <v>247</v>
      </c>
      <c r="P25" s="7">
        <f>Contracts!P25</f>
        <v>0</v>
      </c>
      <c r="Q25" s="7">
        <v>0</v>
      </c>
      <c r="R25" s="7">
        <f t="shared" si="7"/>
        <v>22</v>
      </c>
      <c r="S25" s="7">
        <f t="shared" si="8"/>
        <v>247</v>
      </c>
      <c r="T25" s="7">
        <f>Contracts!T25</f>
        <v>5276</v>
      </c>
      <c r="U25" s="7">
        <v>4612</v>
      </c>
      <c r="V25" s="7">
        <f>Contracts!V25</f>
        <v>170</v>
      </c>
      <c r="W25" s="7">
        <v>489</v>
      </c>
      <c r="X25" s="7">
        <f>Contracts!X25</f>
        <v>0</v>
      </c>
      <c r="Y25" s="7">
        <v>0</v>
      </c>
      <c r="Z25" s="7">
        <f>Contracts!Z25</f>
        <v>167</v>
      </c>
      <c r="AA25" s="7">
        <v>144</v>
      </c>
    </row>
    <row r="26" spans="1:27" ht="12.75">
      <c r="A26" s="4">
        <v>37681</v>
      </c>
      <c r="B26" s="7">
        <f>Contracts!B26</f>
        <v>592</v>
      </c>
      <c r="C26" s="7">
        <v>757</v>
      </c>
      <c r="D26" s="7">
        <f>Contracts!D26</f>
        <v>15</v>
      </c>
      <c r="E26" s="7">
        <v>24</v>
      </c>
      <c r="F26" s="7">
        <f t="shared" si="3"/>
        <v>577</v>
      </c>
      <c r="G26" s="7">
        <f t="shared" si="4"/>
        <v>733</v>
      </c>
      <c r="H26" s="7">
        <f>Contracts!H26</f>
        <v>997</v>
      </c>
      <c r="I26" s="7">
        <v>2723</v>
      </c>
      <c r="J26" s="7">
        <f>Contracts!J26</f>
        <v>68</v>
      </c>
      <c r="K26" s="7">
        <v>72</v>
      </c>
      <c r="L26" s="7">
        <f t="shared" si="5"/>
        <v>929</v>
      </c>
      <c r="M26" s="7">
        <f t="shared" si="6"/>
        <v>2651</v>
      </c>
      <c r="N26" s="7">
        <f>Contracts!N26</f>
        <v>22</v>
      </c>
      <c r="O26" s="7">
        <v>244</v>
      </c>
      <c r="P26" s="7">
        <f>Contracts!P26</f>
        <v>0</v>
      </c>
      <c r="Q26" s="7">
        <v>0</v>
      </c>
      <c r="R26" s="7">
        <f t="shared" si="7"/>
        <v>22</v>
      </c>
      <c r="S26" s="7">
        <f t="shared" si="8"/>
        <v>244</v>
      </c>
      <c r="T26" s="7">
        <f>Contracts!T26</f>
        <v>5294</v>
      </c>
      <c r="U26" s="7">
        <v>4640</v>
      </c>
      <c r="V26" s="7">
        <f>Contracts!V26</f>
        <v>167</v>
      </c>
      <c r="W26" s="7">
        <v>495</v>
      </c>
      <c r="X26" s="7">
        <f>Contracts!X26</f>
        <v>0</v>
      </c>
      <c r="Y26" s="7">
        <v>0</v>
      </c>
      <c r="Z26" s="7">
        <f>Contracts!Z26</f>
        <v>167</v>
      </c>
      <c r="AA26" s="7">
        <v>144</v>
      </c>
    </row>
    <row r="27" spans="1:27" ht="12.75">
      <c r="A27" s="4">
        <v>37653</v>
      </c>
      <c r="B27" s="7">
        <f>Contracts!B27</f>
        <v>584</v>
      </c>
      <c r="C27" s="7">
        <v>762</v>
      </c>
      <c r="D27" s="7">
        <f>Contracts!D27</f>
        <v>13</v>
      </c>
      <c r="E27" s="7">
        <v>24</v>
      </c>
      <c r="F27" s="7">
        <f t="shared" si="3"/>
        <v>571</v>
      </c>
      <c r="G27" s="7">
        <f t="shared" si="4"/>
        <v>738</v>
      </c>
      <c r="H27" s="7">
        <f>Contracts!H27</f>
        <v>1011</v>
      </c>
      <c r="I27" s="7">
        <v>2717</v>
      </c>
      <c r="J27" s="7">
        <f>Contracts!J27</f>
        <v>69</v>
      </c>
      <c r="K27" s="7">
        <v>72</v>
      </c>
      <c r="L27" s="7">
        <f t="shared" si="5"/>
        <v>942</v>
      </c>
      <c r="M27" s="7">
        <f t="shared" si="6"/>
        <v>2645</v>
      </c>
      <c r="N27" s="7">
        <f>Contracts!N27</f>
        <v>21</v>
      </c>
      <c r="O27" s="7">
        <v>244</v>
      </c>
      <c r="P27" s="7">
        <f>Contracts!P27</f>
        <v>0</v>
      </c>
      <c r="Q27" s="7">
        <v>0</v>
      </c>
      <c r="R27" s="7">
        <f t="shared" si="7"/>
        <v>21</v>
      </c>
      <c r="S27" s="7">
        <f t="shared" si="8"/>
        <v>244</v>
      </c>
      <c r="T27" s="7">
        <f>Contracts!T27</f>
        <v>5336</v>
      </c>
      <c r="U27" s="7">
        <v>4662</v>
      </c>
      <c r="V27" s="7">
        <f>Contracts!V27</f>
        <v>169</v>
      </c>
      <c r="W27" s="7">
        <v>497</v>
      </c>
      <c r="X27" s="7">
        <f>Contracts!X27</f>
        <v>0</v>
      </c>
      <c r="Y27" s="7">
        <v>0</v>
      </c>
      <c r="Z27" s="7">
        <f>Contracts!Z27</f>
        <v>168</v>
      </c>
      <c r="AA27" s="7">
        <v>142</v>
      </c>
    </row>
    <row r="28" spans="1:27" ht="12.75">
      <c r="A28" s="4">
        <v>37622</v>
      </c>
      <c r="B28" s="7">
        <f>Contracts!B28</f>
        <v>592</v>
      </c>
      <c r="C28" s="7">
        <v>761</v>
      </c>
      <c r="D28" s="7">
        <f>Contracts!D28</f>
        <v>13</v>
      </c>
      <c r="E28" s="7">
        <v>23</v>
      </c>
      <c r="F28" s="7">
        <f t="shared" si="3"/>
        <v>579</v>
      </c>
      <c r="G28" s="7">
        <f t="shared" si="4"/>
        <v>738</v>
      </c>
      <c r="H28" s="7">
        <f>Contracts!H28</f>
        <v>1008</v>
      </c>
      <c r="I28" s="7">
        <v>2686</v>
      </c>
      <c r="J28" s="7">
        <f>Contracts!J28</f>
        <v>65</v>
      </c>
      <c r="K28" s="7">
        <v>72</v>
      </c>
      <c r="L28" s="7">
        <f t="shared" si="5"/>
        <v>943</v>
      </c>
      <c r="M28" s="7">
        <f t="shared" si="6"/>
        <v>2614</v>
      </c>
      <c r="N28" s="7">
        <f>Contracts!N28</f>
        <v>21</v>
      </c>
      <c r="O28" s="7">
        <v>248</v>
      </c>
      <c r="P28" s="7">
        <f>Contracts!P28</f>
        <v>0</v>
      </c>
      <c r="Q28" s="7">
        <v>0</v>
      </c>
      <c r="R28" s="7">
        <f t="shared" si="7"/>
        <v>21</v>
      </c>
      <c r="S28" s="7">
        <f t="shared" si="8"/>
        <v>248</v>
      </c>
      <c r="T28" s="7">
        <f>Contracts!T28</f>
        <v>5358</v>
      </c>
      <c r="U28" s="7">
        <v>4684</v>
      </c>
      <c r="V28" s="7">
        <f>Contracts!V28</f>
        <v>174</v>
      </c>
      <c r="W28" s="7">
        <v>497</v>
      </c>
      <c r="X28" s="7">
        <f>Contracts!X28</f>
        <v>0</v>
      </c>
      <c r="Y28" s="7">
        <v>0</v>
      </c>
      <c r="Z28" s="7">
        <f>Contracts!Z28</f>
        <v>170</v>
      </c>
      <c r="AA28" s="7">
        <v>138</v>
      </c>
    </row>
    <row r="29" spans="1:27" ht="12.75">
      <c r="A29" s="4">
        <v>37591</v>
      </c>
      <c r="B29" s="7">
        <f>Contracts!B29</f>
        <v>789</v>
      </c>
      <c r="C29" s="7">
        <v>976</v>
      </c>
      <c r="D29" s="7">
        <f>Contracts!D29</f>
        <v>28</v>
      </c>
      <c r="E29" s="7">
        <v>24</v>
      </c>
      <c r="F29" s="7">
        <f t="shared" si="3"/>
        <v>761</v>
      </c>
      <c r="G29" s="7">
        <f t="shared" si="4"/>
        <v>952</v>
      </c>
      <c r="H29" s="7">
        <f>Contracts!H29</f>
        <v>1019</v>
      </c>
      <c r="I29" s="7">
        <v>2857</v>
      </c>
      <c r="J29" s="7">
        <f>Contracts!J29</f>
        <v>65</v>
      </c>
      <c r="K29" s="7">
        <v>84</v>
      </c>
      <c r="L29" s="7">
        <f t="shared" si="5"/>
        <v>954</v>
      </c>
      <c r="M29" s="7">
        <f t="shared" si="6"/>
        <v>2773</v>
      </c>
      <c r="N29" s="7">
        <f>Contracts!N29</f>
        <v>14</v>
      </c>
      <c r="O29" s="7">
        <v>208</v>
      </c>
      <c r="P29" s="7">
        <f>Contracts!P29</f>
        <v>0</v>
      </c>
      <c r="Q29" s="7">
        <v>0</v>
      </c>
      <c r="R29" s="7">
        <f t="shared" si="7"/>
        <v>14</v>
      </c>
      <c r="S29" s="7">
        <f t="shared" si="8"/>
        <v>208</v>
      </c>
      <c r="T29" s="7">
        <f>Contracts!T29</f>
        <v>5301</v>
      </c>
      <c r="U29" s="7">
        <v>4502</v>
      </c>
      <c r="V29" s="7">
        <f>Contracts!V29</f>
        <v>192</v>
      </c>
      <c r="W29" s="7">
        <v>561</v>
      </c>
      <c r="X29" s="7">
        <f>Contracts!X29</f>
        <v>2</v>
      </c>
      <c r="Y29" s="7">
        <v>10</v>
      </c>
      <c r="Z29" s="7">
        <f>Contracts!Z29</f>
        <v>141</v>
      </c>
      <c r="AA29" s="7">
        <v>140</v>
      </c>
    </row>
    <row r="30" spans="1:27" ht="12.75">
      <c r="A30" s="4">
        <v>37561</v>
      </c>
      <c r="B30" s="7">
        <f>Contracts!B30</f>
        <v>801</v>
      </c>
      <c r="C30" s="7">
        <v>991</v>
      </c>
      <c r="D30" s="7">
        <f>Contracts!D30</f>
        <v>29</v>
      </c>
      <c r="E30" s="7">
        <v>27</v>
      </c>
      <c r="F30" s="7">
        <f t="shared" si="3"/>
        <v>772</v>
      </c>
      <c r="G30" s="7">
        <f t="shared" si="4"/>
        <v>964</v>
      </c>
      <c r="H30" s="7">
        <f>Contracts!H30</f>
        <v>1016</v>
      </c>
      <c r="I30" s="7">
        <v>2869</v>
      </c>
      <c r="J30" s="7">
        <f>Contracts!J30</f>
        <v>66</v>
      </c>
      <c r="K30" s="7">
        <v>84</v>
      </c>
      <c r="L30" s="7">
        <f t="shared" si="5"/>
        <v>950</v>
      </c>
      <c r="M30" s="7">
        <f t="shared" si="6"/>
        <v>2785</v>
      </c>
      <c r="N30" s="7">
        <f>Contracts!N30</f>
        <v>13</v>
      </c>
      <c r="O30" s="7">
        <v>206</v>
      </c>
      <c r="P30" s="7">
        <f>Contracts!P30</f>
        <v>0</v>
      </c>
      <c r="Q30" s="7">
        <v>0</v>
      </c>
      <c r="R30" s="7">
        <f t="shared" si="7"/>
        <v>13</v>
      </c>
      <c r="S30" s="7">
        <f t="shared" si="8"/>
        <v>206</v>
      </c>
      <c r="T30" s="7">
        <f>Contracts!T30</f>
        <v>5322</v>
      </c>
      <c r="U30" s="7">
        <v>4508</v>
      </c>
      <c r="V30" s="7">
        <f>Contracts!V30</f>
        <v>194</v>
      </c>
      <c r="W30" s="7">
        <v>561</v>
      </c>
      <c r="X30" s="7">
        <f>Contracts!X30</f>
        <v>2</v>
      </c>
      <c r="Y30" s="7">
        <v>10</v>
      </c>
      <c r="Z30" s="7">
        <f>Contracts!Z30</f>
        <v>142</v>
      </c>
      <c r="AA30" s="7">
        <v>140</v>
      </c>
    </row>
    <row r="31" spans="1:27" ht="12.75">
      <c r="A31" s="4">
        <v>37530</v>
      </c>
      <c r="B31" s="7">
        <f>Contracts!B31</f>
        <v>805</v>
      </c>
      <c r="C31" s="7">
        <v>1012</v>
      </c>
      <c r="D31" s="7">
        <f>Contracts!D31</f>
        <v>30</v>
      </c>
      <c r="E31" s="7">
        <v>27</v>
      </c>
      <c r="F31" s="7">
        <f t="shared" si="3"/>
        <v>775</v>
      </c>
      <c r="G31" s="7">
        <f t="shared" si="4"/>
        <v>985</v>
      </c>
      <c r="H31" s="7">
        <f>Contracts!H31</f>
        <v>1030</v>
      </c>
      <c r="I31" s="7">
        <v>2889</v>
      </c>
      <c r="J31" s="7">
        <f>Contracts!J31</f>
        <v>65</v>
      </c>
      <c r="K31" s="7">
        <v>86</v>
      </c>
      <c r="L31" s="7">
        <f t="shared" si="5"/>
        <v>965</v>
      </c>
      <c r="M31" s="7">
        <f t="shared" si="6"/>
        <v>2803</v>
      </c>
      <c r="N31" s="7">
        <f>Contracts!N31</f>
        <v>14</v>
      </c>
      <c r="O31" s="7">
        <v>209</v>
      </c>
      <c r="P31" s="7">
        <f>Contracts!P31</f>
        <v>0</v>
      </c>
      <c r="Q31" s="7">
        <v>0</v>
      </c>
      <c r="R31" s="7">
        <f t="shared" si="7"/>
        <v>14</v>
      </c>
      <c r="S31" s="7">
        <f t="shared" si="8"/>
        <v>209</v>
      </c>
      <c r="T31" s="7">
        <f>Contracts!T31</f>
        <v>5338</v>
      </c>
      <c r="U31" s="7">
        <v>4532</v>
      </c>
      <c r="V31" s="7">
        <f>Contracts!V31</f>
        <v>193</v>
      </c>
      <c r="W31" s="7">
        <v>559</v>
      </c>
      <c r="X31" s="7">
        <f>Contracts!X31</f>
        <v>2</v>
      </c>
      <c r="Y31" s="7">
        <v>10</v>
      </c>
      <c r="Z31" s="7">
        <f>Contracts!Z31</f>
        <v>144</v>
      </c>
      <c r="AA31" s="7">
        <v>142</v>
      </c>
    </row>
    <row r="32" ht="12.75">
      <c r="A32" s="2"/>
    </row>
  </sheetData>
  <printOptions/>
  <pageMargins left="0.75" right="0.75" top="1" bottom="1" header="0.5" footer="0.5"/>
  <pageSetup fitToHeight="1" fitToWidth="1" horizontalDpi="300" verticalDpi="300" orientation="landscape" scale="8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Pavleje</dc:creator>
  <cp:keywords/>
  <dc:description/>
  <cp:lastModifiedBy>Kobercl</cp:lastModifiedBy>
  <cp:lastPrinted>2004-08-11T20:30:18Z</cp:lastPrinted>
  <dcterms:created xsi:type="dcterms:W3CDTF">2000-07-17T18:28:17Z</dcterms:created>
  <dcterms:modified xsi:type="dcterms:W3CDTF">2004-10-05T19:53:30Z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